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.gailite\Documents\No Data diska\Dokumenti\Publ_parskati\Safety_report\2017\"/>
    </mc:Choice>
  </mc:AlternateContent>
  <bookViews>
    <workbookView xWindow="0" yWindow="0" windowWidth="28800" windowHeight="11535" activeTab="1"/>
  </bookViews>
  <sheets>
    <sheet name="Please read" sheetId="10" r:id="rId1"/>
    <sheet name="CSI data - simple" sheetId="7" r:id="rId2"/>
    <sheet name="Fallback values" sheetId="8" r:id="rId3"/>
    <sheet name="Reference Data" sheetId="4" state="hidden" r:id="rId4"/>
    <sheet name="Delays of accidents" sheetId="5" r:id="rId5"/>
    <sheet name="Reference info" sheetId="9" r:id="rId6"/>
  </sheets>
  <definedNames>
    <definedName name="_ftnref1" localSheetId="2">'Fallback values'!$D$8</definedName>
    <definedName name="_ftnref2" localSheetId="2">'Fallback values'!$E$9</definedName>
    <definedName name="_xlnm.Print_Area" localSheetId="1">'CSI data - simple'!$A$2:$E$258</definedName>
    <definedName name="_xlnm.Print_Titles" localSheetId="1">'CSI data - simple'!$3:$3</definedName>
  </definedNames>
  <calcPr calcId="152511"/>
</workbook>
</file>

<file path=xl/calcChain.xml><?xml version="1.0" encoding="utf-8"?>
<calcChain xmlns="http://schemas.openxmlformats.org/spreadsheetml/2006/main">
  <c r="AM37" i="8" l="1"/>
  <c r="BR37" i="8" s="1"/>
  <c r="BC10" i="8"/>
  <c r="BR10" i="8"/>
  <c r="BR11" i="8"/>
  <c r="BR12" i="8"/>
  <c r="BR14" i="8"/>
  <c r="BR15" i="8"/>
  <c r="BR16" i="8"/>
  <c r="BR17" i="8"/>
  <c r="BR18" i="8"/>
  <c r="BR19" i="8"/>
  <c r="BR20" i="8"/>
  <c r="BR21" i="8"/>
  <c r="BR23" i="8"/>
  <c r="BR24" i="8"/>
  <c r="BR25" i="8"/>
  <c r="BR26" i="8"/>
  <c r="BR27" i="8"/>
  <c r="BR28" i="8"/>
  <c r="BR29" i="8"/>
  <c r="BR30" i="8"/>
  <c r="BR31" i="8"/>
  <c r="BR32" i="8"/>
  <c r="BR34" i="8"/>
  <c r="BR35" i="8"/>
  <c r="BR36" i="8"/>
  <c r="BR38" i="8"/>
  <c r="BC11" i="8"/>
  <c r="BC14" i="8"/>
  <c r="BC15" i="8"/>
  <c r="BC16" i="8"/>
  <c r="BC17" i="8"/>
  <c r="BC18" i="8"/>
  <c r="BC19" i="8"/>
  <c r="BC20" i="8"/>
  <c r="BC21" i="8"/>
  <c r="BC23" i="8"/>
  <c r="BC24" i="8"/>
  <c r="BC25" i="8"/>
  <c r="BC26" i="8"/>
  <c r="BC27" i="8"/>
  <c r="BC28" i="8"/>
  <c r="BC29" i="8"/>
  <c r="BC30" i="8"/>
  <c r="BC31" i="8"/>
  <c r="BC32" i="8"/>
  <c r="BC34" i="8"/>
  <c r="BC35" i="8"/>
  <c r="BC36" i="8"/>
  <c r="BC38" i="8"/>
  <c r="AM13" i="8"/>
  <c r="BR13" i="8" s="1"/>
  <c r="E195" i="7"/>
  <c r="E186" i="7"/>
  <c r="E176" i="7"/>
  <c r="E167" i="7"/>
  <c r="E97" i="7"/>
  <c r="E88" i="7"/>
  <c r="E68" i="7"/>
  <c r="E58" i="7"/>
  <c r="E48" i="7"/>
  <c r="E38" i="7"/>
  <c r="E10" i="7"/>
  <c r="E233" i="7"/>
  <c r="E232" i="7" s="1"/>
  <c r="E250" i="7"/>
  <c r="AJ13" i="8"/>
  <c r="BO13" i="8" s="1"/>
  <c r="AZ13" i="8"/>
  <c r="AK13" i="8"/>
  <c r="AL13" i="8"/>
  <c r="C6" i="5"/>
  <c r="C9" i="5" s="1"/>
  <c r="C14" i="5"/>
  <c r="C15" i="5"/>
  <c r="C17" i="5"/>
  <c r="C21" i="5"/>
  <c r="C22" i="5"/>
  <c r="C27" i="5"/>
  <c r="AS10" i="8"/>
  <c r="AT10" i="8"/>
  <c r="AU10" i="8"/>
  <c r="AV10" i="8"/>
  <c r="AW10" i="8"/>
  <c r="AX10" i="8"/>
  <c r="AY10" i="8"/>
  <c r="AZ10" i="8"/>
  <c r="BB10" i="8"/>
  <c r="BH10" i="8"/>
  <c r="BI10" i="8"/>
  <c r="BJ10" i="8"/>
  <c r="BK10" i="8"/>
  <c r="BL10" i="8"/>
  <c r="BM10" i="8"/>
  <c r="BN10" i="8"/>
  <c r="BO10" i="8"/>
  <c r="BQ10" i="8"/>
  <c r="AS11" i="8"/>
  <c r="AT11" i="8"/>
  <c r="AU11" i="8"/>
  <c r="AV11" i="8"/>
  <c r="AW11" i="8"/>
  <c r="AX11" i="8"/>
  <c r="AY11" i="8"/>
  <c r="AZ11" i="8"/>
  <c r="BB11" i="8"/>
  <c r="BH11" i="8"/>
  <c r="BI11" i="8"/>
  <c r="BJ11" i="8"/>
  <c r="BK11" i="8"/>
  <c r="BL11" i="8"/>
  <c r="BM11" i="8"/>
  <c r="BN11" i="8"/>
  <c r="BO11" i="8"/>
  <c r="BQ11" i="8"/>
  <c r="C12" i="8"/>
  <c r="D12" i="8"/>
  <c r="E12" i="8"/>
  <c r="F12" i="8"/>
  <c r="G12" i="8"/>
  <c r="H12" i="8"/>
  <c r="I12" i="8"/>
  <c r="BC12" i="8" s="1"/>
  <c r="AV12" i="8"/>
  <c r="J12" i="8"/>
  <c r="BJ12" i="8"/>
  <c r="K12" i="8"/>
  <c r="N12" i="8"/>
  <c r="O12" i="8"/>
  <c r="P12" i="8"/>
  <c r="S12" i="8"/>
  <c r="T12" i="8"/>
  <c r="AU12" i="8"/>
  <c r="AW12" i="8"/>
  <c r="BB12" i="8"/>
  <c r="BH12" i="8"/>
  <c r="BI12" i="8"/>
  <c r="BL12" i="8"/>
  <c r="BM12" i="8"/>
  <c r="BQ12" i="8"/>
  <c r="C13" i="8"/>
  <c r="D13" i="8"/>
  <c r="E13" i="8"/>
  <c r="F13" i="8"/>
  <c r="G13" i="8"/>
  <c r="H13" i="8"/>
  <c r="I13" i="8"/>
  <c r="J13" i="8"/>
  <c r="BM13" i="8" s="1"/>
  <c r="K13" i="8"/>
  <c r="N13" i="8"/>
  <c r="O13" i="8"/>
  <c r="P13" i="8"/>
  <c r="S13" i="8"/>
  <c r="T13" i="8"/>
  <c r="X13" i="8"/>
  <c r="BK13" i="8" s="1"/>
  <c r="Y13" i="8"/>
  <c r="Z13" i="8"/>
  <c r="AA13" i="8"/>
  <c r="AB13" i="8"/>
  <c r="AC13" i="8"/>
  <c r="AS13" i="8" s="1"/>
  <c r="AD13" i="8"/>
  <c r="AT13" i="8"/>
  <c r="AE13" i="8"/>
  <c r="AU13" i="8" s="1"/>
  <c r="AF13" i="8"/>
  <c r="AV13" i="8"/>
  <c r="AG13" i="8"/>
  <c r="AW13" i="8" s="1"/>
  <c r="AH13" i="8"/>
  <c r="AX13" i="8"/>
  <c r="AI13" i="8"/>
  <c r="AY13" i="8" s="1"/>
  <c r="AS14" i="8"/>
  <c r="AT14" i="8"/>
  <c r="AU14" i="8"/>
  <c r="AV14" i="8"/>
  <c r="AW14" i="8"/>
  <c r="AX14" i="8"/>
  <c r="AY14" i="8"/>
  <c r="AZ14" i="8"/>
  <c r="BB14" i="8"/>
  <c r="BH14" i="8"/>
  <c r="BI14" i="8"/>
  <c r="BJ14" i="8"/>
  <c r="BK14" i="8"/>
  <c r="BL14" i="8"/>
  <c r="BM14" i="8"/>
  <c r="BN14" i="8"/>
  <c r="BO14" i="8"/>
  <c r="BQ14" i="8"/>
  <c r="AS15" i="8"/>
  <c r="AT15" i="8"/>
  <c r="AU15" i="8"/>
  <c r="AV15" i="8"/>
  <c r="AW15" i="8"/>
  <c r="AX15" i="8"/>
  <c r="AY15" i="8"/>
  <c r="AZ15" i="8"/>
  <c r="BB15" i="8"/>
  <c r="BH15" i="8"/>
  <c r="BI15" i="8"/>
  <c r="BJ15" i="8"/>
  <c r="BK15" i="8"/>
  <c r="BL15" i="8"/>
  <c r="BM15" i="8"/>
  <c r="BN15" i="8"/>
  <c r="BO15" i="8"/>
  <c r="BQ15" i="8"/>
  <c r="AS16" i="8"/>
  <c r="AT16" i="8"/>
  <c r="AU16" i="8"/>
  <c r="AV16" i="8"/>
  <c r="AW16" i="8"/>
  <c r="AX16" i="8"/>
  <c r="AY16" i="8"/>
  <c r="AZ16" i="8"/>
  <c r="BB16" i="8"/>
  <c r="BH16" i="8"/>
  <c r="BI16" i="8"/>
  <c r="BJ16" i="8"/>
  <c r="BK16" i="8"/>
  <c r="BL16" i="8"/>
  <c r="BM16" i="8"/>
  <c r="BN16" i="8"/>
  <c r="BO16" i="8"/>
  <c r="BQ16" i="8"/>
  <c r="AS17" i="8"/>
  <c r="AT17" i="8"/>
  <c r="AU17" i="8"/>
  <c r="AV17" i="8"/>
  <c r="AW17" i="8"/>
  <c r="AX17" i="8"/>
  <c r="AY17" i="8"/>
  <c r="AZ17" i="8"/>
  <c r="BB17" i="8"/>
  <c r="BH17" i="8"/>
  <c r="BI17" i="8"/>
  <c r="BJ17" i="8"/>
  <c r="BK17" i="8"/>
  <c r="BL17" i="8"/>
  <c r="BM17" i="8"/>
  <c r="BN17" i="8"/>
  <c r="BO17" i="8"/>
  <c r="BQ17" i="8"/>
  <c r="AS18" i="8"/>
  <c r="AT18" i="8"/>
  <c r="AU18" i="8"/>
  <c r="AV18" i="8"/>
  <c r="AW18" i="8"/>
  <c r="AX18" i="8"/>
  <c r="AY18" i="8"/>
  <c r="AZ18" i="8"/>
  <c r="BB18" i="8"/>
  <c r="BH18" i="8"/>
  <c r="BI18" i="8"/>
  <c r="BJ18" i="8"/>
  <c r="BK18" i="8"/>
  <c r="BL18" i="8"/>
  <c r="BM18" i="8"/>
  <c r="BN18" i="8"/>
  <c r="BO18" i="8"/>
  <c r="BQ18" i="8"/>
  <c r="AS19" i="8"/>
  <c r="AT19" i="8"/>
  <c r="AU19" i="8"/>
  <c r="AV19" i="8"/>
  <c r="AW19" i="8"/>
  <c r="AX19" i="8"/>
  <c r="AY19" i="8"/>
  <c r="AZ19" i="8"/>
  <c r="BB19" i="8"/>
  <c r="BH19" i="8"/>
  <c r="BI19" i="8"/>
  <c r="BJ19" i="8"/>
  <c r="BK19" i="8"/>
  <c r="BL19" i="8"/>
  <c r="BM19" i="8"/>
  <c r="BN19" i="8"/>
  <c r="BO19" i="8"/>
  <c r="BQ19" i="8"/>
  <c r="AS20" i="8"/>
  <c r="AT20" i="8"/>
  <c r="AU20" i="8"/>
  <c r="AV20" i="8"/>
  <c r="AW20" i="8"/>
  <c r="AX20" i="8"/>
  <c r="AY20" i="8"/>
  <c r="AZ20" i="8"/>
  <c r="BB20" i="8"/>
  <c r="BH20" i="8"/>
  <c r="BI20" i="8"/>
  <c r="BJ20" i="8"/>
  <c r="BK20" i="8"/>
  <c r="BL20" i="8"/>
  <c r="BM20" i="8"/>
  <c r="BN20" i="8"/>
  <c r="BO20" i="8"/>
  <c r="BQ20" i="8"/>
  <c r="AS21" i="8"/>
  <c r="AT21" i="8"/>
  <c r="AU21" i="8"/>
  <c r="AV21" i="8"/>
  <c r="AW21" i="8"/>
  <c r="AX21" i="8"/>
  <c r="AY21" i="8"/>
  <c r="AZ21" i="8"/>
  <c r="BB21" i="8"/>
  <c r="BH21" i="8"/>
  <c r="BI21" i="8"/>
  <c r="BJ21" i="8"/>
  <c r="BK21" i="8"/>
  <c r="BL21" i="8"/>
  <c r="BM21" i="8"/>
  <c r="BN21" i="8"/>
  <c r="BO21" i="8"/>
  <c r="BQ21" i="8"/>
  <c r="C22" i="8"/>
  <c r="D22" i="8"/>
  <c r="E22" i="8"/>
  <c r="F22" i="8"/>
  <c r="G22" i="8"/>
  <c r="H22" i="8"/>
  <c r="I22" i="8"/>
  <c r="AU22" i="8"/>
  <c r="J22" i="8"/>
  <c r="BL22" i="8" s="1"/>
  <c r="BI22" i="8"/>
  <c r="K22" i="8"/>
  <c r="N22" i="8"/>
  <c r="O22" i="8"/>
  <c r="P22" i="8"/>
  <c r="S22" i="8"/>
  <c r="T22" i="8"/>
  <c r="AS22" i="8"/>
  <c r="AT22" i="8"/>
  <c r="AW22" i="8"/>
  <c r="AX22" i="8"/>
  <c r="BB22" i="8"/>
  <c r="BH22" i="8"/>
  <c r="AS23" i="8"/>
  <c r="AT23" i="8"/>
  <c r="AU23" i="8"/>
  <c r="AV23" i="8"/>
  <c r="AW23" i="8"/>
  <c r="AX23" i="8"/>
  <c r="AY23" i="8"/>
  <c r="AZ23" i="8"/>
  <c r="BB23" i="8"/>
  <c r="BH23" i="8"/>
  <c r="BI23" i="8"/>
  <c r="BJ23" i="8"/>
  <c r="BK23" i="8"/>
  <c r="BL23" i="8"/>
  <c r="BM23" i="8"/>
  <c r="BN23" i="8"/>
  <c r="BO23" i="8"/>
  <c r="BQ23" i="8"/>
  <c r="AS24" i="8"/>
  <c r="AT24" i="8"/>
  <c r="AU24" i="8"/>
  <c r="AV24" i="8"/>
  <c r="AW24" i="8"/>
  <c r="AX24" i="8"/>
  <c r="AY24" i="8"/>
  <c r="AZ24" i="8"/>
  <c r="BB24" i="8"/>
  <c r="BH24" i="8"/>
  <c r="BI24" i="8"/>
  <c r="BJ24" i="8"/>
  <c r="BK24" i="8"/>
  <c r="BL24" i="8"/>
  <c r="BM24" i="8"/>
  <c r="BN24" i="8"/>
  <c r="BO24" i="8"/>
  <c r="BQ24" i="8"/>
  <c r="AS25" i="8"/>
  <c r="AT25" i="8"/>
  <c r="AU25" i="8"/>
  <c r="AV25" i="8"/>
  <c r="AW25" i="8"/>
  <c r="AX25" i="8"/>
  <c r="AY25" i="8"/>
  <c r="AZ25" i="8"/>
  <c r="BB25" i="8"/>
  <c r="BH25" i="8"/>
  <c r="BI25" i="8"/>
  <c r="BJ25" i="8"/>
  <c r="BK25" i="8"/>
  <c r="BL25" i="8"/>
  <c r="BM25" i="8"/>
  <c r="BN25" i="8"/>
  <c r="BO25" i="8"/>
  <c r="BQ25" i="8"/>
  <c r="AS26" i="8"/>
  <c r="AT26" i="8"/>
  <c r="AU26" i="8"/>
  <c r="AV26" i="8"/>
  <c r="AW26" i="8"/>
  <c r="AX26" i="8"/>
  <c r="AY26" i="8"/>
  <c r="AZ26" i="8"/>
  <c r="BB26" i="8"/>
  <c r="BH26" i="8"/>
  <c r="BI26" i="8"/>
  <c r="BJ26" i="8"/>
  <c r="BK26" i="8"/>
  <c r="BL26" i="8"/>
  <c r="BM26" i="8"/>
  <c r="BN26" i="8"/>
  <c r="BO26" i="8"/>
  <c r="BQ26" i="8"/>
  <c r="AS27" i="8"/>
  <c r="AT27" i="8"/>
  <c r="AU27" i="8"/>
  <c r="AV27" i="8"/>
  <c r="AW27" i="8"/>
  <c r="AX27" i="8"/>
  <c r="AY27" i="8"/>
  <c r="AZ27" i="8"/>
  <c r="BB27" i="8"/>
  <c r="BH27" i="8"/>
  <c r="BI27" i="8"/>
  <c r="BJ27" i="8"/>
  <c r="BK27" i="8"/>
  <c r="BL27" i="8"/>
  <c r="BM27" i="8"/>
  <c r="BN27" i="8"/>
  <c r="BO27" i="8"/>
  <c r="BQ27" i="8"/>
  <c r="AS28" i="8"/>
  <c r="AT28" i="8"/>
  <c r="AU28" i="8"/>
  <c r="AV28" i="8"/>
  <c r="AW28" i="8"/>
  <c r="AX28" i="8"/>
  <c r="AY28" i="8"/>
  <c r="AZ28" i="8"/>
  <c r="BB28" i="8"/>
  <c r="BH28" i="8"/>
  <c r="BI28" i="8"/>
  <c r="BJ28" i="8"/>
  <c r="BK28" i="8"/>
  <c r="BL28" i="8"/>
  <c r="BM28" i="8"/>
  <c r="BN28" i="8"/>
  <c r="BO28" i="8"/>
  <c r="BQ28" i="8"/>
  <c r="AS29" i="8"/>
  <c r="AT29" i="8"/>
  <c r="AU29" i="8"/>
  <c r="AV29" i="8"/>
  <c r="AW29" i="8"/>
  <c r="AX29" i="8"/>
  <c r="AY29" i="8"/>
  <c r="AZ29" i="8"/>
  <c r="BB29" i="8"/>
  <c r="BH29" i="8"/>
  <c r="BI29" i="8"/>
  <c r="BJ29" i="8"/>
  <c r="BK29" i="8"/>
  <c r="BL29" i="8"/>
  <c r="BM29" i="8"/>
  <c r="BN29" i="8"/>
  <c r="BO29" i="8"/>
  <c r="BQ29" i="8"/>
  <c r="N30" i="8"/>
  <c r="O30" i="8"/>
  <c r="P30" i="8"/>
  <c r="S30" i="8"/>
  <c r="T30" i="8"/>
  <c r="AS30" i="8"/>
  <c r="AT30" i="8"/>
  <c r="AU30" i="8"/>
  <c r="AV30" i="8"/>
  <c r="AW30" i="8"/>
  <c r="AX30" i="8"/>
  <c r="AY30" i="8"/>
  <c r="AZ30" i="8"/>
  <c r="BB30" i="8"/>
  <c r="BH30" i="8"/>
  <c r="BI30" i="8"/>
  <c r="BJ30" i="8"/>
  <c r="BK30" i="8"/>
  <c r="BL30" i="8"/>
  <c r="BM30" i="8"/>
  <c r="BN30" i="8"/>
  <c r="BO30" i="8"/>
  <c r="BQ30" i="8"/>
  <c r="AS31" i="8"/>
  <c r="AT31" i="8"/>
  <c r="AU31" i="8"/>
  <c r="AV31" i="8"/>
  <c r="AW31" i="8"/>
  <c r="AX31" i="8"/>
  <c r="AY31" i="8"/>
  <c r="AZ31" i="8"/>
  <c r="BB31" i="8"/>
  <c r="BH31" i="8"/>
  <c r="BI31" i="8"/>
  <c r="BJ31" i="8"/>
  <c r="BK31" i="8"/>
  <c r="BL31" i="8"/>
  <c r="BM31" i="8"/>
  <c r="BN31" i="8"/>
  <c r="BO31" i="8"/>
  <c r="BQ31" i="8"/>
  <c r="AS32" i="8"/>
  <c r="AT32" i="8"/>
  <c r="AU32" i="8"/>
  <c r="AV32" i="8"/>
  <c r="AW32" i="8"/>
  <c r="AX32" i="8"/>
  <c r="AY32" i="8"/>
  <c r="AZ32" i="8"/>
  <c r="BB32" i="8"/>
  <c r="BH32" i="8"/>
  <c r="BI32" i="8"/>
  <c r="BJ32" i="8"/>
  <c r="BK32" i="8"/>
  <c r="BL32" i="8"/>
  <c r="BM32" i="8"/>
  <c r="BN32" i="8"/>
  <c r="BO32" i="8"/>
  <c r="BQ32" i="8"/>
  <c r="C33" i="8"/>
  <c r="D33" i="8"/>
  <c r="E33" i="8"/>
  <c r="F33" i="8"/>
  <c r="G33" i="8"/>
  <c r="H33" i="8"/>
  <c r="I33" i="8"/>
  <c r="BC33" i="8"/>
  <c r="J33" i="8"/>
  <c r="BR33" i="8" s="1"/>
  <c r="K33" i="8"/>
  <c r="N33" i="8"/>
  <c r="O33" i="8"/>
  <c r="P33" i="8"/>
  <c r="S33" i="8"/>
  <c r="T33" i="8"/>
  <c r="AS33" i="8"/>
  <c r="AW33" i="8"/>
  <c r="BB33" i="8"/>
  <c r="BI33" i="8"/>
  <c r="BM33" i="8"/>
  <c r="AS34" i="8"/>
  <c r="AT34" i="8"/>
  <c r="AU34" i="8"/>
  <c r="AV34" i="8"/>
  <c r="AW34" i="8"/>
  <c r="AX34" i="8"/>
  <c r="AY34" i="8"/>
  <c r="AZ34" i="8"/>
  <c r="BB34" i="8"/>
  <c r="BH34" i="8"/>
  <c r="BI34" i="8"/>
  <c r="BJ34" i="8"/>
  <c r="BK34" i="8"/>
  <c r="BL34" i="8"/>
  <c r="BM34" i="8"/>
  <c r="BN34" i="8"/>
  <c r="BO34" i="8"/>
  <c r="BQ34" i="8"/>
  <c r="AS35" i="8"/>
  <c r="AT35" i="8"/>
  <c r="AU35" i="8"/>
  <c r="AV35" i="8"/>
  <c r="AW35" i="8"/>
  <c r="AX35" i="8"/>
  <c r="AY35" i="8"/>
  <c r="AZ35" i="8"/>
  <c r="BB35" i="8"/>
  <c r="BH35" i="8"/>
  <c r="BI35" i="8"/>
  <c r="BJ35" i="8"/>
  <c r="BK35" i="8"/>
  <c r="BL35" i="8"/>
  <c r="BM35" i="8"/>
  <c r="BN35" i="8"/>
  <c r="BO35" i="8"/>
  <c r="BQ35" i="8"/>
  <c r="AS36" i="8"/>
  <c r="AT36" i="8"/>
  <c r="AU36" i="8"/>
  <c r="AV36" i="8"/>
  <c r="AW36" i="8"/>
  <c r="AX36" i="8"/>
  <c r="AY36" i="8"/>
  <c r="AZ36" i="8"/>
  <c r="BB36" i="8"/>
  <c r="BH36" i="8"/>
  <c r="BI36" i="8"/>
  <c r="BJ36" i="8"/>
  <c r="BK36" i="8"/>
  <c r="BL36" i="8"/>
  <c r="BM36" i="8"/>
  <c r="BN36" i="8"/>
  <c r="BO36" i="8"/>
  <c r="BQ36" i="8"/>
  <c r="N37" i="8"/>
  <c r="O37" i="8"/>
  <c r="P37" i="8"/>
  <c r="S37" i="8"/>
  <c r="T37" i="8"/>
  <c r="AS37" i="8"/>
  <c r="AT37" i="8"/>
  <c r="AU37" i="8"/>
  <c r="AV37" i="8"/>
  <c r="AW37" i="8"/>
  <c r="AX37" i="8"/>
  <c r="AY37" i="8"/>
  <c r="AZ37" i="8"/>
  <c r="BB37" i="8"/>
  <c r="BH37" i="8"/>
  <c r="BI37" i="8"/>
  <c r="BJ37" i="8"/>
  <c r="BK37" i="8"/>
  <c r="BL37" i="8"/>
  <c r="BM37" i="8"/>
  <c r="BN37" i="8"/>
  <c r="BO37" i="8"/>
  <c r="BQ37" i="8"/>
  <c r="AS38" i="8"/>
  <c r="AT38" i="8"/>
  <c r="AU38" i="8"/>
  <c r="AV38" i="8"/>
  <c r="AW38" i="8"/>
  <c r="AX38" i="8"/>
  <c r="AY38" i="8"/>
  <c r="AZ38" i="8"/>
  <c r="BB38" i="8"/>
  <c r="BH38" i="8"/>
  <c r="BI38" i="8"/>
  <c r="BJ38" i="8"/>
  <c r="BK38" i="8"/>
  <c r="BL38" i="8"/>
  <c r="BM38" i="8"/>
  <c r="BN38" i="8"/>
  <c r="BO38" i="8"/>
  <c r="BQ38" i="8"/>
  <c r="C39" i="8"/>
  <c r="D39" i="8"/>
  <c r="E39" i="8"/>
  <c r="F39" i="8"/>
  <c r="G39" i="8"/>
  <c r="H39" i="8"/>
  <c r="I39" i="8"/>
  <c r="AU39" i="8"/>
  <c r="J39" i="8"/>
  <c r="BI39" i="8" s="1"/>
  <c r="BJ39" i="8"/>
  <c r="K39" i="8"/>
  <c r="N39" i="8"/>
  <c r="O39" i="8"/>
  <c r="P39" i="8"/>
  <c r="S39" i="8"/>
  <c r="T39" i="8"/>
  <c r="AS39" i="8"/>
  <c r="AT39" i="8"/>
  <c r="C40" i="8"/>
  <c r="D40" i="8"/>
  <c r="E40" i="8"/>
  <c r="F40" i="8"/>
  <c r="G40" i="8"/>
  <c r="H40" i="8"/>
  <c r="I40" i="8"/>
  <c r="J40" i="8"/>
  <c r="K40" i="8"/>
  <c r="N40" i="8"/>
  <c r="O40" i="8"/>
  <c r="P40" i="8"/>
  <c r="S40" i="8"/>
  <c r="T40" i="8"/>
  <c r="BB40" i="8"/>
  <c r="E5" i="7"/>
  <c r="E271" i="7" s="1"/>
  <c r="C20" i="5" s="1"/>
  <c r="E6" i="7"/>
  <c r="E11" i="7"/>
  <c r="E39" i="7"/>
  <c r="E49" i="7"/>
  <c r="E59" i="7"/>
  <c r="E69" i="7"/>
  <c r="E80" i="7"/>
  <c r="E78" i="7" s="1"/>
  <c r="E81" i="7"/>
  <c r="E30" i="7" s="1"/>
  <c r="E82" i="7"/>
  <c r="E31" i="7"/>
  <c r="E83" i="7"/>
  <c r="E32" i="7" s="1"/>
  <c r="E84" i="7"/>
  <c r="E33" i="7"/>
  <c r="E85" i="7"/>
  <c r="E34" i="7" s="1"/>
  <c r="E86" i="7"/>
  <c r="E35" i="7"/>
  <c r="E109" i="7"/>
  <c r="E117" i="7"/>
  <c r="E118" i="7"/>
  <c r="E127" i="7"/>
  <c r="E128" i="7"/>
  <c r="E137" i="7"/>
  <c r="E138" i="7"/>
  <c r="E147" i="7"/>
  <c r="E148" i="7"/>
  <c r="E159" i="7"/>
  <c r="E160" i="7"/>
  <c r="E110" i="7" s="1"/>
  <c r="E161" i="7"/>
  <c r="E111" i="7"/>
  <c r="E162" i="7"/>
  <c r="E112" i="7" s="1"/>
  <c r="E163" i="7"/>
  <c r="E113" i="7"/>
  <c r="E164" i="7"/>
  <c r="E114" i="7" s="1"/>
  <c r="E165" i="7"/>
  <c r="E115" i="7"/>
  <c r="E261" i="7"/>
  <c r="BJ13" i="8"/>
  <c r="BB13" i="8"/>
  <c r="AZ33" i="8"/>
  <c r="AV33" i="8"/>
  <c r="BO22" i="8"/>
  <c r="BI13" i="8"/>
  <c r="BB39" i="8"/>
  <c r="AY33" i="8"/>
  <c r="AU33" i="8"/>
  <c r="BN22" i="8"/>
  <c r="BJ22" i="8"/>
  <c r="AZ22" i="8"/>
  <c r="AV22" i="8"/>
  <c r="BL13" i="8"/>
  <c r="BO12" i="8"/>
  <c r="BK12" i="8"/>
  <c r="BC22" i="8"/>
  <c r="BR22" i="8"/>
  <c r="AX33" i="8"/>
  <c r="AT33" i="8"/>
  <c r="BM22" i="8"/>
  <c r="AY22" i="8"/>
  <c r="BN12" i="8"/>
  <c r="AZ12" i="8"/>
  <c r="BC13" i="8"/>
  <c r="E268" i="7"/>
  <c r="BQ13" i="8" l="1"/>
  <c r="E79" i="7"/>
  <c r="E28" i="7" s="1"/>
  <c r="E158" i="7"/>
  <c r="E108" i="7" s="1"/>
  <c r="BQ33" i="8"/>
  <c r="BL33" i="8"/>
  <c r="BH33" i="8"/>
  <c r="BC37" i="8"/>
  <c r="E269" i="7"/>
  <c r="BK22" i="8"/>
  <c r="BH39" i="8"/>
  <c r="E157" i="7"/>
  <c r="E107" i="7" s="1"/>
  <c r="E213" i="7" s="1"/>
  <c r="BO33" i="8"/>
  <c r="BK33" i="8"/>
  <c r="BQ22" i="8"/>
  <c r="BN13" i="8"/>
  <c r="AY12" i="8"/>
  <c r="AT12" i="8"/>
  <c r="E29" i="7"/>
  <c r="E27" i="7"/>
  <c r="E214" i="7" s="1"/>
  <c r="BH13" i="8"/>
  <c r="BN33" i="8"/>
  <c r="BJ33" i="8"/>
  <c r="AX12" i="8"/>
  <c r="AS12" i="8"/>
  <c r="C24" i="5"/>
  <c r="C26" i="5" s="1"/>
  <c r="E217" i="7"/>
  <c r="E209" i="7"/>
  <c r="E267" i="7"/>
  <c r="E270" i="7"/>
  <c r="C8" i="5" s="1"/>
  <c r="C5" i="5"/>
  <c r="C11" i="5" s="1"/>
  <c r="C16" i="5" s="1"/>
  <c r="C29" i="5" s="1"/>
  <c r="E212" i="7" l="1"/>
  <c r="E206" i="7" s="1"/>
</calcChain>
</file>

<file path=xl/comments1.xml><?xml version="1.0" encoding="utf-8"?>
<comments xmlns="http://schemas.openxmlformats.org/spreadsheetml/2006/main">
  <authors>
    <author>EKSLER Vojtech (ERA)</author>
  </authors>
  <commentList>
    <comment ref="G240" authorId="0" shapeId="0">
      <text>
        <r>
          <rPr>
            <b/>
            <sz val="9"/>
            <color indexed="81"/>
            <rFont val="Tahoma"/>
            <family val="2"/>
          </rPr>
          <t>Mandatory in 2015.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Johan Bäckman</author>
  </authors>
  <commentList>
    <comment ref="B12" authorId="0" shapeId="0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Calculated as average of Hungary and Slovakia. Selection based on GDP levels. Bulgaria has about the same GDP per capita as Hungary and Slovakia.</t>
        </r>
      </text>
    </comment>
    <comment ref="B13" authorId="0" shapeId="0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Calculated as the average of France and UK.</t>
        </r>
      </text>
    </comment>
    <comment ref="B22" authorId="0" shapeId="0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Calculated as average of Hungary and Slovakia. Selection based on GDP levels. Bulgaria has about the same GDP per capita as Hungary and Slovakia.</t>
        </r>
      </text>
    </comment>
    <comment ref="M30" authorId="0" shapeId="0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Based on average for Nordic countries DK, FI, SE</t>
        </r>
      </text>
    </comment>
    <comment ref="B33" authorId="0" shapeId="0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Calculated as average of Hungary and Slovakia. Selection based on GDP levels. Bulgaria has about the same GDP per capita as Hungary and Slovakia.</t>
        </r>
      </text>
    </comment>
    <comment ref="B39" authorId="0" shapeId="0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Calculated as average of Hungary and Slovakia. Selection based on GDP levels. Bulgaria has about the same GDP per capita as Hungary and Slovakia.
</t>
        </r>
      </text>
    </comment>
    <comment ref="B40" authorId="0" shapeId="0">
      <text>
        <r>
          <rPr>
            <b/>
            <sz val="8"/>
            <color indexed="81"/>
            <rFont val="Tahoma"/>
            <family val="2"/>
          </rPr>
          <t>Johan Bäckman:</t>
        </r>
        <r>
          <rPr>
            <sz val="8"/>
            <color indexed="81"/>
            <rFont val="Tahoma"/>
            <family val="2"/>
          </rPr>
          <t xml:space="preserve">
Average of EU25 countries minus CY and MA.</t>
        </r>
      </text>
    </comment>
  </commentList>
</comments>
</file>

<file path=xl/sharedStrings.xml><?xml version="1.0" encoding="utf-8"?>
<sst xmlns="http://schemas.openxmlformats.org/spreadsheetml/2006/main" count="1129" uniqueCount="529">
  <si>
    <t>please select from list</t>
  </si>
  <si>
    <t>Austria</t>
  </si>
  <si>
    <t>Belgium</t>
  </si>
  <si>
    <t>Bulgaria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</si>
  <si>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</si>
  <si>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</si>
  <si>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</si>
  <si>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</si>
  <si>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</si>
  <si>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</si>
  <si>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</si>
  <si>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</si>
  <si>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</si>
  <si>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</si>
  <si>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</si>
  <si>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</si>
  <si>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</si>
  <si>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</si>
  <si>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Norway</t>
  </si>
  <si>
    <t>Malta</t>
  </si>
  <si>
    <t>Poland</t>
  </si>
  <si>
    <t>Portugal</t>
  </si>
  <si>
    <t>Romania</t>
  </si>
  <si>
    <t>Slovak Republic</t>
  </si>
  <si>
    <t>Slovenia</t>
  </si>
  <si>
    <t>Spain</t>
  </si>
  <si>
    <t>Sweden</t>
  </si>
  <si>
    <t>Switzerland</t>
  </si>
  <si>
    <t>United Kingdom</t>
  </si>
  <si>
    <t>AT</t>
  </si>
  <si>
    <t>BE</t>
  </si>
  <si>
    <t>BG</t>
  </si>
  <si>
    <t>CY</t>
  </si>
  <si>
    <t>CZ</t>
  </si>
  <si>
    <t>DK</t>
  </si>
  <si>
    <t>EE</t>
  </si>
  <si>
    <t>FI</t>
  </si>
  <si>
    <t>FR</t>
  </si>
  <si>
    <t>DE</t>
  </si>
  <si>
    <t>EL</t>
  </si>
  <si>
    <t>HU</t>
  </si>
  <si>
    <t>IE</t>
  </si>
  <si>
    <t>IT</t>
  </si>
  <si>
    <t>LV</t>
  </si>
  <si>
    <t>LT</t>
  </si>
  <si>
    <t>LU</t>
  </si>
  <si>
    <t>NO</t>
  </si>
  <si>
    <t>MT</t>
  </si>
  <si>
    <t>PL</t>
  </si>
  <si>
    <t>PT</t>
  </si>
  <si>
    <t>RO</t>
  </si>
  <si>
    <t>SK</t>
  </si>
  <si>
    <t>SI</t>
  </si>
  <si>
    <t>ES</t>
  </si>
  <si>
    <t>SE</t>
  </si>
  <si>
    <t>CH</t>
  </si>
  <si>
    <t>NL</t>
  </si>
  <si>
    <t>UK</t>
  </si>
  <si>
    <t>reporting year</t>
  </si>
  <si>
    <t>Percentage of train kilometres using operational ATP systems</t>
  </si>
  <si>
    <t>Total number of accomplished audits</t>
  </si>
  <si>
    <t>Percentage of tracks with Automatic Train Protection (ATP) in operation</t>
  </si>
  <si>
    <t>N00</t>
  </si>
  <si>
    <t>N01</t>
  </si>
  <si>
    <t>N02</t>
  </si>
  <si>
    <t>N03</t>
  </si>
  <si>
    <t>N04</t>
  </si>
  <si>
    <t>N05</t>
  </si>
  <si>
    <t>N06</t>
  </si>
  <si>
    <t>N07</t>
  </si>
  <si>
    <t>I00</t>
  </si>
  <si>
    <t>I01</t>
  </si>
  <si>
    <t>I02</t>
  </si>
  <si>
    <t>I03</t>
  </si>
  <si>
    <t>I04</t>
  </si>
  <si>
    <t>I05</t>
  </si>
  <si>
    <t>I06</t>
  </si>
  <si>
    <t>C00</t>
  </si>
  <si>
    <t>C01</t>
  </si>
  <si>
    <t>C02</t>
  </si>
  <si>
    <t>C03</t>
  </si>
  <si>
    <t>C04</t>
  </si>
  <si>
    <t>C10</t>
  </si>
  <si>
    <t>C13</t>
  </si>
  <si>
    <t>C14</t>
  </si>
  <si>
    <t>T01</t>
  </si>
  <si>
    <t>T02</t>
  </si>
  <si>
    <t>T03</t>
  </si>
  <si>
    <t>A01</t>
  </si>
  <si>
    <t>A02</t>
  </si>
  <si>
    <t>R01</t>
  </si>
  <si>
    <t>R02</t>
  </si>
  <si>
    <t>R03</t>
  </si>
  <si>
    <t>Data format</t>
  </si>
  <si>
    <t>Reporting country</t>
  </si>
  <si>
    <t>CC</t>
  </si>
  <si>
    <t>YY</t>
  </si>
  <si>
    <t>0. Reporting country details</t>
  </si>
  <si>
    <t>Numeric value</t>
  </si>
  <si>
    <t>Numeric value (in km)</t>
  </si>
  <si>
    <t>Numeric value (%)</t>
  </si>
  <si>
    <t>PK00</t>
  </si>
  <si>
    <t>PK01</t>
  </si>
  <si>
    <t>PK02</t>
  </si>
  <si>
    <t>PK03</t>
  </si>
  <si>
    <t>PK04</t>
  </si>
  <si>
    <t>PK05</t>
  </si>
  <si>
    <t>PK06</t>
  </si>
  <si>
    <t>SK00</t>
  </si>
  <si>
    <t>SK01</t>
  </si>
  <si>
    <t>SK02</t>
  </si>
  <si>
    <t>SK03</t>
  </si>
  <si>
    <t>SK04</t>
  </si>
  <si>
    <t>SK05</t>
  </si>
  <si>
    <t>SK06</t>
  </si>
  <si>
    <t>OK00</t>
  </si>
  <si>
    <t>OK01</t>
  </si>
  <si>
    <t>OK02</t>
  </si>
  <si>
    <t>OK03</t>
  </si>
  <si>
    <t>OK04</t>
  </si>
  <si>
    <t>OK05</t>
  </si>
  <si>
    <t>OK06</t>
  </si>
  <si>
    <t>UK00</t>
  </si>
  <si>
    <t>UK01</t>
  </si>
  <si>
    <t>UK02</t>
  </si>
  <si>
    <t>UK03</t>
  </si>
  <si>
    <t>UK04</t>
  </si>
  <si>
    <t>UK05</t>
  </si>
  <si>
    <t>UK06</t>
  </si>
  <si>
    <t>LK00</t>
  </si>
  <si>
    <t>LK01</t>
  </si>
  <si>
    <t>LK02</t>
  </si>
  <si>
    <t>LK03</t>
  </si>
  <si>
    <t>LK04</t>
  </si>
  <si>
    <t>LK05</t>
  </si>
  <si>
    <t>LK06</t>
  </si>
  <si>
    <t>PS00</t>
  </si>
  <si>
    <t>PS01</t>
  </si>
  <si>
    <t>PS02</t>
  </si>
  <si>
    <t>PS03</t>
  </si>
  <si>
    <t>PS04</t>
  </si>
  <si>
    <t>PS05</t>
  </si>
  <si>
    <t>PS06</t>
  </si>
  <si>
    <t>SS00</t>
  </si>
  <si>
    <t>SS01</t>
  </si>
  <si>
    <t>SS02</t>
  </si>
  <si>
    <t>SS03</t>
  </si>
  <si>
    <t>SS04</t>
  </si>
  <si>
    <t>SS05</t>
  </si>
  <si>
    <t>SS06</t>
  </si>
  <si>
    <t>LS00</t>
  </si>
  <si>
    <t>LS01</t>
  </si>
  <si>
    <t>LS02</t>
  </si>
  <si>
    <t>LS03</t>
  </si>
  <si>
    <t>LS04</t>
  </si>
  <si>
    <t>LS05</t>
  </si>
  <si>
    <t>LS06</t>
  </si>
  <si>
    <t>US00</t>
  </si>
  <si>
    <t>US01</t>
  </si>
  <si>
    <t>US02</t>
  </si>
  <si>
    <t>US03</t>
  </si>
  <si>
    <t>US04</t>
  </si>
  <si>
    <t>US05</t>
  </si>
  <si>
    <t>US06</t>
  </si>
  <si>
    <t>OS00</t>
  </si>
  <si>
    <t>OS01</t>
  </si>
  <si>
    <t>OS02</t>
  </si>
  <si>
    <t>OS03</t>
  </si>
  <si>
    <t>OS04</t>
  </si>
  <si>
    <t>OS05</t>
  </si>
  <si>
    <t>OS06</t>
  </si>
  <si>
    <t>TS00</t>
  </si>
  <si>
    <t>TS01</t>
  </si>
  <si>
    <t>TS02</t>
  </si>
  <si>
    <t>TS03</t>
  </si>
  <si>
    <t>TS04</t>
  </si>
  <si>
    <t>TS05</t>
  </si>
  <si>
    <t>TS06</t>
  </si>
  <si>
    <t>TK00</t>
  </si>
  <si>
    <t>TK01</t>
  </si>
  <si>
    <t>TK02</t>
  </si>
  <si>
    <t>TK03</t>
  </si>
  <si>
    <t>TK04</t>
  </si>
  <si>
    <t>TK05</t>
  </si>
  <si>
    <t>TK06</t>
  </si>
  <si>
    <t>Data Code</t>
  </si>
  <si>
    <t>Description of data</t>
  </si>
  <si>
    <t>Reporting year</t>
  </si>
  <si>
    <t>Percentage of audits accomplished /required (and/or planned).</t>
  </si>
  <si>
    <t>Numeric value (%) (67% = 0.67)</t>
  </si>
  <si>
    <t>Numeric value in €</t>
  </si>
  <si>
    <t>Definition from safety directive 2004/49 or Reg,1192/03</t>
  </si>
  <si>
    <t>National Definition</t>
  </si>
  <si>
    <t>ISO Code</t>
  </si>
  <si>
    <t>Country Name</t>
  </si>
  <si>
    <t>CT</t>
  </si>
  <si>
    <t>Channel Tunnel*</t>
  </si>
  <si>
    <t>The Netherlands</t>
  </si>
  <si>
    <t>Total number of accidents involving at least one railway vehicle transporting dangerous goods</t>
  </si>
  <si>
    <t>Total number of precursors</t>
  </si>
  <si>
    <t>National value of preventing a serious injury</t>
  </si>
  <si>
    <t>Cost of delays as a consequence of accidents</t>
  </si>
  <si>
    <t>Total number of level crossings (active and passive)</t>
  </si>
  <si>
    <t>Total number of Train km</t>
  </si>
  <si>
    <t>R05</t>
  </si>
  <si>
    <t>R06</t>
  </si>
  <si>
    <t>R07</t>
  </si>
  <si>
    <t>N18</t>
  </si>
  <si>
    <t>N19</t>
  </si>
  <si>
    <t>N20</t>
  </si>
  <si>
    <t>R08</t>
  </si>
  <si>
    <t>R09</t>
  </si>
  <si>
    <t>C05</t>
  </si>
  <si>
    <t>C06</t>
  </si>
  <si>
    <t>T06</t>
  </si>
  <si>
    <t>T07</t>
  </si>
  <si>
    <t>T08</t>
  </si>
  <si>
    <t>T09</t>
  </si>
  <si>
    <t>T10</t>
  </si>
  <si>
    <t>T11</t>
  </si>
  <si>
    <t>T12</t>
  </si>
  <si>
    <t>T13</t>
  </si>
  <si>
    <t>T14</t>
  </si>
  <si>
    <t>T15</t>
  </si>
  <si>
    <t>R10</t>
  </si>
  <si>
    <t>R11</t>
  </si>
  <si>
    <t>Fall back value of preventing a fatality</t>
  </si>
  <si>
    <t>Fall back value of preventing a serious injury</t>
  </si>
  <si>
    <t>with automatic user-side protection and warning, and rail-side protection</t>
  </si>
  <si>
    <t>with automatic user-side warning</t>
  </si>
  <si>
    <t>National value of preventing a fatality</t>
  </si>
  <si>
    <t>Total number in all accidents</t>
  </si>
  <si>
    <t>Passenger trains</t>
  </si>
  <si>
    <t>VT of work passengers</t>
  </si>
  <si>
    <t>Average percentage of work passengers per year</t>
  </si>
  <si>
    <t>VT of non-work passengers</t>
  </si>
  <si>
    <t>Average percentage of non-work passengers per year</t>
  </si>
  <si>
    <t>VT(p)</t>
  </si>
  <si>
    <t>K1</t>
  </si>
  <si>
    <t>Passenger kilometres</t>
  </si>
  <si>
    <t>Passenger train kilometres</t>
  </si>
  <si>
    <t>C(mp)</t>
  </si>
  <si>
    <t>Freight trains</t>
  </si>
  <si>
    <t>Freigh train km</t>
  </si>
  <si>
    <t>Freight volume (Tonne km)</t>
  </si>
  <si>
    <t>K2</t>
  </si>
  <si>
    <t>VT(f)</t>
  </si>
  <si>
    <t>C(mf)</t>
  </si>
  <si>
    <t>Delays of freight trains (minutes)</t>
  </si>
  <si>
    <t>Delays of passsenger trains</t>
  </si>
  <si>
    <t>Cost of delays</t>
  </si>
  <si>
    <t xml:space="preserve"> Euro</t>
  </si>
  <si>
    <t>R12</t>
  </si>
  <si>
    <t>R13</t>
  </si>
  <si>
    <t>R14</t>
  </si>
  <si>
    <t>R15</t>
  </si>
  <si>
    <t>R16</t>
  </si>
  <si>
    <t>R17</t>
  </si>
  <si>
    <t>R18</t>
  </si>
  <si>
    <t>National value of time for a non-work passenger of a train (an hour)</t>
  </si>
  <si>
    <t>National value of time for a work passenger of a train (an hour)</t>
  </si>
  <si>
    <t>Fall back value of time for a work passenger of a train (an hour)</t>
  </si>
  <si>
    <t>Fall back value of time for a non-work passenger of a train (an hour)</t>
  </si>
  <si>
    <t>Numeric value (minutes)</t>
  </si>
  <si>
    <t>Cost of material damages to rolling stock or infrastructure (all accidents)</t>
  </si>
  <si>
    <t>Minutes of delays of passenger trains (all accidents)</t>
  </si>
  <si>
    <t>Minutes of delays of freight trains (all accidents)</t>
  </si>
  <si>
    <t>Cost of delays as a consequence of all accidents</t>
  </si>
  <si>
    <t>C07</t>
  </si>
  <si>
    <t>C15</t>
  </si>
  <si>
    <t>National value of time for a tonne freight (an hour)</t>
  </si>
  <si>
    <t>Fall back value of time for a tonne freight (an hour)</t>
  </si>
  <si>
    <t>R19</t>
  </si>
  <si>
    <t>R20</t>
  </si>
  <si>
    <t>All accidents</t>
  </si>
  <si>
    <t>a)Value of safety per se</t>
  </si>
  <si>
    <t>b)Direct and indirect costs</t>
  </si>
  <si>
    <t>Country</t>
  </si>
  <si>
    <t>Fatality</t>
  </si>
  <si>
    <t xml:space="preserve"> injury</t>
  </si>
  <si>
    <t>Slight</t>
  </si>
  <si>
    <t>Severe</t>
  </si>
  <si>
    <t>injury</t>
  </si>
  <si>
    <t>Netherlands</t>
  </si>
  <si>
    <t>Slovakia</t>
  </si>
  <si>
    <t>Severe[1]</t>
  </si>
  <si>
    <t>injury[2]</t>
  </si>
  <si>
    <t>Business</t>
  </si>
  <si>
    <t>Air</t>
  </si>
  <si>
    <t>Bus</t>
  </si>
  <si>
    <t>Per tonne of freight carried</t>
  </si>
  <si>
    <t>Road</t>
  </si>
  <si>
    <t>Rail</t>
  </si>
  <si>
    <t>Car Train</t>
  </si>
  <si>
    <t>Table 1</t>
  </si>
  <si>
    <t>Table 2</t>
  </si>
  <si>
    <t>Table 3</t>
  </si>
  <si>
    <t>Value of time for all passengers</t>
  </si>
  <si>
    <t>Koefficient 1</t>
  </si>
  <si>
    <t>Variable name</t>
  </si>
  <si>
    <t>Value of preventing a casualty (a+b)</t>
  </si>
  <si>
    <t>Fallback values for value of preventing a casuality and value of time.</t>
  </si>
  <si>
    <t>Cost of 1 minute delay of passenger train</t>
  </si>
  <si>
    <t>Cost of 1 minute delay of freight train</t>
  </si>
  <si>
    <t>Value of time for freight trains</t>
  </si>
  <si>
    <t>Koefficient 2</t>
  </si>
  <si>
    <t>Cost of damage to the environment (all accidents)</t>
  </si>
  <si>
    <t>C16</t>
  </si>
  <si>
    <t>C17</t>
  </si>
  <si>
    <t>Economic impact of ALL accidents</t>
  </si>
  <si>
    <t>Countries</t>
  </si>
  <si>
    <t>Years</t>
  </si>
  <si>
    <t>Selected</t>
  </si>
  <si>
    <t>List</t>
  </si>
  <si>
    <t>Table 4</t>
  </si>
  <si>
    <t>GDP/Capita</t>
  </si>
  <si>
    <t>:</t>
  </si>
  <si>
    <t>Croatia</t>
  </si>
  <si>
    <t>YU</t>
  </si>
  <si>
    <t>Channel Tunnel</t>
  </si>
  <si>
    <t>Code</t>
  </si>
  <si>
    <t>Value of safety</t>
  </si>
  <si>
    <t>Value of passenger travel times</t>
  </si>
  <si>
    <t>Value of freight transport time</t>
  </si>
  <si>
    <t>HR</t>
  </si>
  <si>
    <t>Former Yugoslav Republic of Macedonia</t>
  </si>
  <si>
    <t>Explanation</t>
  </si>
  <si>
    <t>Colour coded cells are calculated values. For each country, please see comment in column B.</t>
  </si>
  <si>
    <t>EU23</t>
  </si>
  <si>
    <t>EU27</t>
  </si>
  <si>
    <t>If no data given, assuming 75% work passengers</t>
  </si>
  <si>
    <t>R04</t>
  </si>
  <si>
    <t>MK</t>
  </si>
  <si>
    <t>TR</t>
  </si>
  <si>
    <t xml:space="preserve"> </t>
  </si>
  <si>
    <t>From the CSI guidance, table 1, 2 and 3. GDP data from Eurostat database (nama_gdp_c)</t>
  </si>
  <si>
    <t>Severe injury</t>
  </si>
  <si>
    <t>N011</t>
  </si>
  <si>
    <t>N012</t>
  </si>
  <si>
    <t>TK011</t>
  </si>
  <si>
    <t>TS011</t>
  </si>
  <si>
    <t>TK012</t>
  </si>
  <si>
    <t>TS012</t>
  </si>
  <si>
    <t>2002 costs</t>
  </si>
  <si>
    <t>GDP values updated on 05/08/2014 from EUROSTAT</t>
  </si>
  <si>
    <t>Background information:</t>
  </si>
  <si>
    <t>N08</t>
  </si>
  <si>
    <t>N031</t>
  </si>
  <si>
    <t>N032</t>
  </si>
  <si>
    <t>N033</t>
  </si>
  <si>
    <t>N034</t>
  </si>
  <si>
    <t>N035</t>
  </si>
  <si>
    <t>PS011</t>
  </si>
  <si>
    <t>PS012</t>
  </si>
  <si>
    <t>LS011</t>
  </si>
  <si>
    <t>LS012</t>
  </si>
  <si>
    <t>US011</t>
  </si>
  <si>
    <t>US012</t>
  </si>
  <si>
    <t>PK011</t>
  </si>
  <si>
    <t>PK012</t>
  </si>
  <si>
    <t>SK011</t>
  </si>
  <si>
    <t>SK012</t>
  </si>
  <si>
    <t>LK011</t>
  </si>
  <si>
    <t>LK012</t>
  </si>
  <si>
    <t>UK011</t>
  </si>
  <si>
    <t>UK012</t>
  </si>
  <si>
    <t>OSP00</t>
  </si>
  <si>
    <t>OSP011</t>
  </si>
  <si>
    <t>OSP012</t>
  </si>
  <si>
    <t>OSP02</t>
  </si>
  <si>
    <t>OSP03</t>
  </si>
  <si>
    <t>OSP04</t>
  </si>
  <si>
    <t>OSP05</t>
  </si>
  <si>
    <t>OSP06</t>
  </si>
  <si>
    <t>OKP00</t>
  </si>
  <si>
    <t>OKP011</t>
  </si>
  <si>
    <t>OKP012</t>
  </si>
  <si>
    <t>OKP02</t>
  </si>
  <si>
    <t>OKP03</t>
  </si>
  <si>
    <t>OKP04</t>
  </si>
  <si>
    <t>OKP05</t>
  </si>
  <si>
    <t>OKP06</t>
  </si>
  <si>
    <t>OKE00</t>
  </si>
  <si>
    <t>OKE02</t>
  </si>
  <si>
    <t>OKE03</t>
  </si>
  <si>
    <t>OKE04</t>
  </si>
  <si>
    <t>OKE05</t>
  </si>
  <si>
    <t>OKE06</t>
  </si>
  <si>
    <t>OSE00</t>
  </si>
  <si>
    <t>OSE02</t>
  </si>
  <si>
    <t>OSE03</t>
  </si>
  <si>
    <t>OSE04</t>
  </si>
  <si>
    <t>OSE05</t>
  </si>
  <si>
    <t>OSE06</t>
  </si>
  <si>
    <t>I041</t>
  </si>
  <si>
    <t>Percentage of tracks with Train Protection Systems (TPSs) in operation providing warning</t>
  </si>
  <si>
    <t>Percentage of tracks with Train Protection Systems (TPSs) in operation providing warning and automatic stop</t>
  </si>
  <si>
    <t>Percentage of tracks with Train Protection Systems (TPSs) in operation providing warning and automatic stop and discrete supervision of speed</t>
  </si>
  <si>
    <t>Percentage of train kilometers run with Train Protection Systems (TPSs) in operation providing warning</t>
  </si>
  <si>
    <t>Percentage of train kilometers run with Train Protection Systems (TPSs) in operation providing warning and automatic stop</t>
  </si>
  <si>
    <t>Percentage of train kilometers run with Train Protection Systems (TPSs) in operation providing warning and automatic stop and discrete supervision of speed</t>
  </si>
  <si>
    <t>TP01</t>
  </si>
  <si>
    <t>TP02</t>
  </si>
  <si>
    <t>TP03</t>
  </si>
  <si>
    <t>TT01</t>
  </si>
  <si>
    <t>TT02</t>
  </si>
  <si>
    <t>TT03</t>
  </si>
  <si>
    <t>Manual</t>
  </si>
  <si>
    <t>OSE011</t>
  </si>
  <si>
    <t>OSE012</t>
  </si>
  <si>
    <t>OKE011</t>
  </si>
  <si>
    <t>OKE012</t>
  </si>
  <si>
    <t>T081</t>
  </si>
  <si>
    <t>I042</t>
  </si>
  <si>
    <t>SS011</t>
  </si>
  <si>
    <t>SS012</t>
  </si>
  <si>
    <t>OS011</t>
  </si>
  <si>
    <t>OS012</t>
  </si>
  <si>
    <t>OK011</t>
  </si>
  <si>
    <t>OK012</t>
  </si>
  <si>
    <t>Suicides</t>
  </si>
  <si>
    <t>Attempted suicides</t>
  </si>
  <si>
    <t>3. Indicators relating to suicides</t>
  </si>
  <si>
    <t>1. Indicators relating to accidents</t>
  </si>
  <si>
    <t>1.2.1b. Passengers seriously injured</t>
  </si>
  <si>
    <t>1.2.2h. Other persons not on platform killed</t>
  </si>
  <si>
    <t>2. Indicators relating to dangerous goods</t>
  </si>
  <si>
    <t xml:space="preserve">   In collisions of trains, including collisions with obstacles within the clearance gauge</t>
  </si>
  <si>
    <t xml:space="preserve">   In collisions of train with rail vehicle</t>
  </si>
  <si>
    <t xml:space="preserve">   In collisions of train with obstacle within the clearance gauge</t>
  </si>
  <si>
    <t xml:space="preserve">   In derailments of trains</t>
  </si>
  <si>
    <t xml:space="preserve">   In level-crossing accidents, including accidents involving pedestrians at level-crossings</t>
  </si>
  <si>
    <t xml:space="preserve">   In accidents to persons caused by rolling stock in motion, with the exception of suicides</t>
  </si>
  <si>
    <t xml:space="preserve">   In fires in rolling stock</t>
  </si>
  <si>
    <t xml:space="preserve">   In others</t>
  </si>
  <si>
    <t>4. Indicators relating to precursors to accidents</t>
  </si>
  <si>
    <t xml:space="preserve">   Economic impact of fatalities</t>
  </si>
  <si>
    <t xml:space="preserve">   Economic impact of serious injuries</t>
  </si>
  <si>
    <t xml:space="preserve">   Cost of material damages to rolling stock or infrastructure (significant accidents)</t>
  </si>
  <si>
    <t xml:space="preserve">   Cost of damage to the environment (significant accidents)</t>
  </si>
  <si>
    <t xml:space="preserve">   Cost of delays as a consequence of significant accidents</t>
  </si>
  <si>
    <t xml:space="preserve">      Minutes of delays of passenger trains (significant accidents)</t>
  </si>
  <si>
    <t xml:space="preserve">      Minutes of delays of freight trains (significant accidents)</t>
  </si>
  <si>
    <t>6.1 Train Protection Systems (TPSs)</t>
  </si>
  <si>
    <t>6. Indicators relating to technical safety of infrastructure and its implementation</t>
  </si>
  <si>
    <t>6.2 Level crossings</t>
  </si>
  <si>
    <t xml:space="preserve">   Total number of active level crossings</t>
  </si>
  <si>
    <t xml:space="preserve">   Total number of passive level crossings</t>
  </si>
  <si>
    <t>R.E Reference data for economic indicators</t>
  </si>
  <si>
    <t>R.T. Reference data traffic and infrastructure</t>
  </si>
  <si>
    <t xml:space="preserve">      with automatic user-side protection and warning</t>
  </si>
  <si>
    <t>C</t>
  </si>
  <si>
    <t>Y</t>
  </si>
  <si>
    <t>1.2.2c. Employees or contractors killed</t>
  </si>
  <si>
    <t>1.2.2e. Trespassers killed</t>
  </si>
  <si>
    <t>1.2.2f. Other persons killed</t>
  </si>
  <si>
    <t>1.2.2g. Other persons  on platform killed</t>
  </si>
  <si>
    <t xml:space="preserve">   with manual user-side warning</t>
  </si>
  <si>
    <t xml:space="preserve">   with manual user-side protection</t>
  </si>
  <si>
    <t xml:space="preserve">   with manual user-side protection and warning</t>
  </si>
  <si>
    <t>1.1 Total number of significant accidents and a break-down for the following types of accidents</t>
  </si>
  <si>
    <t>Total number of significant accidents</t>
  </si>
  <si>
    <t xml:space="preserve">   Collisions of trains, including collisions with obstacles within the clearance gauge</t>
  </si>
  <si>
    <t xml:space="preserve">   Collisions of train with rail vehicle</t>
  </si>
  <si>
    <t xml:space="preserve">   Collisions of train with obstacle within the clearance gauge</t>
  </si>
  <si>
    <t xml:space="preserve">   Derailments of trains</t>
  </si>
  <si>
    <t xml:space="preserve">   Level-crossing accidents, including accidents involving pedestrians at level-crossings</t>
  </si>
  <si>
    <t xml:space="preserve">      Level crossing accidents on passive LCs</t>
  </si>
  <si>
    <t xml:space="preserve">      Level crossing accidents on manual LCs</t>
  </si>
  <si>
    <t xml:space="preserve">      Level crossing accidents on LCs automatic with user-side warning</t>
  </si>
  <si>
    <t xml:space="preserve">      Level crossing accidents on LCs automatic with user-side protection</t>
  </si>
  <si>
    <t xml:space="preserve">      Level crossing accidents on rail-side protected LCs</t>
  </si>
  <si>
    <t xml:space="preserve">   Accidents to persons caused by rolling stock in motion, with the exception of suicides and attempted suicides</t>
  </si>
  <si>
    <t xml:space="preserve">   Fires in rolling stock</t>
  </si>
  <si>
    <t xml:space="preserve">   Other accidents</t>
  </si>
  <si>
    <t>1.2 Persons seriously injured and killed by type of accident and by category of person</t>
  </si>
  <si>
    <t>1.2.1a. Persons seriously injured - all persons</t>
  </si>
  <si>
    <t>1.2.1c. Employees or contractors seriously injured</t>
  </si>
  <si>
    <t>1.2.1d. Level-crossing users seriously injured</t>
  </si>
  <si>
    <t>1.2.1e. Trespassers seriously injured</t>
  </si>
  <si>
    <t>1.2.1f. Other persons seriously injured</t>
  </si>
  <si>
    <t>1.2.1g. Other persons on platform seriously injured</t>
  </si>
  <si>
    <t>1.2.1h. Other persons not on platform seriously injured</t>
  </si>
  <si>
    <t>1.2.2a. Persons killed by type of accident - all persons</t>
  </si>
  <si>
    <t xml:space="preserve">1.2.2b. Passengers killed </t>
  </si>
  <si>
    <t>1.2.2d. Level-crossing users killed</t>
  </si>
  <si>
    <t xml:space="preserve">   Accidents involving at least one railway vehicle transporting dangerous goods in which dangerous goods are NOT released</t>
  </si>
  <si>
    <t xml:space="preserve">   Accidents involving at least one railway vehicle transporting dangerous goods in which dangerous goods ARE released</t>
  </si>
  <si>
    <t xml:space="preserve">   Broken rails</t>
  </si>
  <si>
    <t xml:space="preserve">   Track buckles and other track misalignments</t>
  </si>
  <si>
    <t xml:space="preserve">   Wrong-side signalling failures</t>
  </si>
  <si>
    <t xml:space="preserve">   Signals passed at danger</t>
  </si>
  <si>
    <t xml:space="preserve">   Signals passed at danger when passing a danger point</t>
  </si>
  <si>
    <t xml:space="preserve">   Signals passed at danger without passing a danger point</t>
  </si>
  <si>
    <t xml:space="preserve">   Broken wheels on rolling stock in service</t>
  </si>
  <si>
    <t xml:space="preserve">   Broken axles on rolling stock in service</t>
  </si>
  <si>
    <t>5. Indicators to calculate the economic impact of accidents</t>
  </si>
  <si>
    <t>M. Indicators relating to the management of safety</t>
  </si>
  <si>
    <t>Numeric value (in million train-km)</t>
  </si>
  <si>
    <t>Numeric value (in million passenger-km)</t>
  </si>
  <si>
    <t>Numeric value (in million tonne-km)</t>
  </si>
  <si>
    <t>ISO 3166 alpha-2 country code (except for Channel Tunnel (CT), Greece (EL) and the United Kingdom (UK)</t>
  </si>
  <si>
    <t xml:space="preserve">      with automatic user-side protection</t>
  </si>
  <si>
    <t xml:space="preserve">         with automatic user side protection</t>
  </si>
  <si>
    <r>
      <t xml:space="preserve">Economic impact of </t>
    </r>
    <r>
      <rPr>
        <b/>
        <sz val="12"/>
        <rFont val="Arial"/>
        <family val="2"/>
      </rPr>
      <t>significant accidents ONLY</t>
    </r>
  </si>
  <si>
    <t>Value</t>
  </si>
  <si>
    <t>Field Nr.</t>
  </si>
  <si>
    <t>-</t>
  </si>
  <si>
    <t>This CSI data form is updated on an annual with the latest available GDP data. Any changes in relevant legislation (Annex I to the RSD) are also reflected.</t>
  </si>
  <si>
    <t>This form is for reporting CSI data for year 2016 and onwards (application of Commission Directive 2014/88/EU).</t>
  </si>
  <si>
    <t>Please observe the following rules when filling in the form:</t>
  </si>
  <si>
    <r>
      <t>2.</t>
    </r>
    <r>
      <rPr>
        <sz val="18"/>
        <rFont val="Times New Roman"/>
        <family val="1"/>
      </rPr>
      <t xml:space="preserve"> </t>
    </r>
    <r>
      <rPr>
        <sz val="18"/>
        <rFont val="Calibri"/>
        <family val="2"/>
      </rPr>
      <t xml:space="preserve">If any value expected to be filled in </t>
    </r>
    <r>
      <rPr>
        <u/>
        <sz val="18"/>
        <rFont val="Calibri"/>
        <family val="2"/>
      </rPr>
      <t>is not available</t>
    </r>
    <r>
      <rPr>
        <sz val="18"/>
        <rFont val="Calibri"/>
        <family val="2"/>
      </rPr>
      <t xml:space="preserve">, the </t>
    </r>
    <r>
      <rPr>
        <u/>
        <sz val="18"/>
        <rFont val="Calibri"/>
        <family val="2"/>
      </rPr>
      <t>“-”</t>
    </r>
    <r>
      <rPr>
        <sz val="18"/>
        <rFont val="Calibri"/>
        <family val="2"/>
      </rPr>
      <t xml:space="preserve"> symbol shall be filled in instead.</t>
    </r>
  </si>
  <si>
    <r>
      <t>3. If the value reported is zero, then "0" shall be filled in (</t>
    </r>
    <r>
      <rPr>
        <sz val="18"/>
        <color indexed="10"/>
        <rFont val="Calibri"/>
        <family val="2"/>
      </rPr>
      <t>do not leave the cell empty; do not fill in with "-"</t>
    </r>
    <r>
      <rPr>
        <sz val="18"/>
        <rFont val="Calibri"/>
        <family val="2"/>
      </rPr>
      <t>).</t>
    </r>
  </si>
  <si>
    <r>
      <t>4.</t>
    </r>
    <r>
      <rPr>
        <sz val="18"/>
        <rFont val="Times New Roman"/>
        <family val="1"/>
      </rPr>
      <t> </t>
    </r>
    <r>
      <rPr>
        <sz val="18"/>
        <rFont val="Calibri"/>
        <family val="2"/>
      </rPr>
      <t xml:space="preserve">National reference data for economic indicators (R10-R15): Fill-in only if your national reference values have recently been estimated at the national level. </t>
    </r>
  </si>
  <si>
    <t>5. Reference data traffic and infrastructure: Please beware of using correct units when reporting different values. Please also note</t>
  </si>
  <si>
    <r>
      <t xml:space="preserve">1. </t>
    </r>
    <r>
      <rPr>
        <sz val="18"/>
        <rFont val="Calibri"/>
        <family val="2"/>
      </rPr>
      <t xml:space="preserve">Only </t>
    </r>
    <r>
      <rPr>
        <u/>
        <sz val="18"/>
        <color indexed="17"/>
        <rFont val="Calibri"/>
        <family val="2"/>
      </rPr>
      <t/>
    </r>
  </si>
  <si>
    <t>green cells</t>
  </si>
  <si>
    <t xml:space="preserve"> in spreadsheet “CSI-data” shall be filled in with data.</t>
  </si>
  <si>
    <t>If you experience any problems in uploading your data please send an e-mail to:</t>
  </si>
  <si>
    <t>csi@era.europa.eu</t>
  </si>
  <si>
    <r>
      <t xml:space="preserve">   Passenger train km - </t>
    </r>
    <r>
      <rPr>
        <sz val="12"/>
        <color indexed="10"/>
        <rFont val="Arial"/>
        <family val="2"/>
      </rPr>
      <t>NOTE DEFINITION: Unit of measurement representing the movement of a passenger train over one kilometre.</t>
    </r>
  </si>
  <si>
    <r>
      <t xml:space="preserve">   Freight train km - </t>
    </r>
    <r>
      <rPr>
        <sz val="12"/>
        <color indexed="10"/>
        <rFont val="Arial"/>
        <family val="2"/>
      </rPr>
      <t>NOTE DEFINITION: Unit of measurement representing the movement of a freight train over one kilometre.</t>
    </r>
  </si>
  <si>
    <r>
      <t xml:space="preserve">  Other train km - </t>
    </r>
    <r>
      <rPr>
        <sz val="12"/>
        <color indexed="10"/>
        <rFont val="Arial"/>
        <family val="2"/>
      </rPr>
      <t>NOTE DEFINITION: Unit of measurement representing the movement of a train - not categorised as a passenger or freight train, e.g. a works train over one kilometre.</t>
    </r>
  </si>
  <si>
    <r>
      <t xml:space="preserve">Number of passenger km - </t>
    </r>
    <r>
      <rPr>
        <sz val="12"/>
        <color indexed="10"/>
        <rFont val="Arial"/>
        <family val="2"/>
      </rPr>
      <t>NOTE DEFINITION: Unit of measurement representing the transport of one rail passenger by rail over a distance of one kilometre.</t>
    </r>
  </si>
  <si>
    <r>
      <t xml:space="preserve">Number of rail freight tonne km - </t>
    </r>
    <r>
      <rPr>
        <sz val="12"/>
        <color indexed="10"/>
        <rFont val="Arial"/>
        <family val="2"/>
      </rPr>
      <t>NOTE DEFINITION: Unit of measurement of railway goods transport which represents the transport by rail of one tonne of goods over a distance of one kilometre.</t>
    </r>
  </si>
  <si>
    <r>
      <t xml:space="preserve">Number of line kilometres - </t>
    </r>
    <r>
      <rPr>
        <sz val="12"/>
        <color indexed="10"/>
        <rFont val="Arial"/>
        <family val="2"/>
      </rPr>
      <t>NOTE DEFINITION: Unit of measurement of the length of the railway network</t>
    </r>
  </si>
  <si>
    <r>
      <t xml:space="preserve">Number of track kilometres - </t>
    </r>
    <r>
      <rPr>
        <sz val="12"/>
        <color indexed="10"/>
        <rFont val="Arial"/>
        <family val="2"/>
      </rPr>
      <t>NOTE DEFINITION: Unit of measurement of the length of the railway network multiplied by the number of tracks</t>
    </r>
  </si>
  <si>
    <t>Version 2018-05-22</t>
  </si>
  <si>
    <t>Data Form for reporting CSI 2017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</si>
</sst>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sz val="10"/>
      <name val="Calibri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sz val="9"/>
      <color indexed="81"/>
      <name val="Tahoma"/>
      <family val="2"/>
    </font>
    <font>
      <sz val="12"/>
      <color indexed="10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sz val="18"/>
      <name val="Calibri"/>
      <family val="2"/>
    </font>
    <font>
      <sz val="18"/>
      <name val="Times New Roman"/>
      <family val="1"/>
    </font>
    <font>
      <u/>
      <sz val="18"/>
      <name val="Calibri"/>
      <family val="2"/>
    </font>
    <font>
      <b/>
      <sz val="26"/>
      <name val="Arial"/>
      <family val="2"/>
    </font>
    <font>
      <u/>
      <sz val="18"/>
      <color indexed="17"/>
      <name val="Calibri"/>
      <family val="2"/>
    </font>
    <font>
      <sz val="18"/>
      <color indexed="10"/>
      <name val="Calibri"/>
      <family val="2"/>
    </font>
    <font>
      <u/>
      <sz val="20"/>
      <color indexed="12"/>
      <name val="Arial"/>
      <family val="2"/>
    </font>
    <font>
      <b/>
      <i/>
      <sz val="10"/>
      <name val="Arial"/>
      <family val="2"/>
    </font>
    <font>
      <sz val="11"/>
      <color rgb="FF0061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8"/>
      <color rgb="FFFF0000"/>
      <name val="Arial"/>
      <family val="2"/>
    </font>
    <font>
      <sz val="18"/>
      <color rgb="FF006100"/>
      <name val="Calibri"/>
      <family val="2"/>
      <scheme val="minor"/>
    </font>
    <font>
      <sz val="12"/>
      <color theme="0" tint="-0.49998474074526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C0C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7">
    <xf numFmtId="0" fontId="0" fillId="0" borderId="0"/>
    <xf numFmtId="0" fontId="40" fillId="7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3" fillId="0" borderId="0"/>
    <xf numFmtId="0" fontId="1" fillId="0" borderId="0"/>
    <xf numFmtId="9" fontId="1" fillId="0" borderId="0" applyFont="0" applyFill="0" applyBorder="0" applyAlignment="0" applyProtection="0"/>
  </cellStyleXfs>
  <cellXfs count="296">
    <xf numFmtId="0" fontId="0" fillId="0" borderId="0" xfId="0"/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7" fillId="0" borderId="0" xfId="0" applyFont="1"/>
    <xf numFmtId="0" fontId="12" fillId="0" borderId="0" xfId="0" applyFont="1"/>
    <xf numFmtId="0" fontId="0" fillId="0" borderId="2" xfId="0" applyBorder="1"/>
    <xf numFmtId="164" fontId="10" fillId="2" borderId="1" xfId="0" applyNumberFormat="1" applyFont="1" applyFill="1" applyBorder="1" applyAlignment="1" applyProtection="1">
      <alignment horizontal="center" vertical="center"/>
      <protection locked="0"/>
    </xf>
    <xf numFmtId="9" fontId="0" fillId="0" borderId="0" xfId="6" applyFont="1" applyFill="1"/>
    <xf numFmtId="0" fontId="0" fillId="0" borderId="0" xfId="0" applyFill="1"/>
    <xf numFmtId="1" fontId="0" fillId="0" borderId="0" xfId="0" applyNumberFormat="1" applyFill="1"/>
    <xf numFmtId="9" fontId="0" fillId="0" borderId="0" xfId="0" applyNumberFormat="1"/>
    <xf numFmtId="0" fontId="4" fillId="0" borderId="3" xfId="0" applyFont="1" applyBorder="1"/>
    <xf numFmtId="0" fontId="0" fillId="0" borderId="3" xfId="0" applyFill="1" applyBorder="1"/>
    <xf numFmtId="0" fontId="0" fillId="0" borderId="3" xfId="0" applyBorder="1"/>
    <xf numFmtId="0" fontId="0" fillId="0" borderId="0" xfId="0" applyFill="1" applyBorder="1"/>
    <xf numFmtId="0" fontId="41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wrapText="1"/>
    </xf>
    <xf numFmtId="0" fontId="41" fillId="0" borderId="0" xfId="0" applyFont="1" applyFill="1" applyBorder="1" applyAlignment="1">
      <alignment horizontal="center" wrapText="1"/>
    </xf>
    <xf numFmtId="0" fontId="7" fillId="0" borderId="0" xfId="0" applyFont="1" applyFill="1" applyBorder="1"/>
    <xf numFmtId="0" fontId="11" fillId="0" borderId="3" xfId="0" applyFont="1" applyBorder="1"/>
    <xf numFmtId="2" fontId="0" fillId="0" borderId="0" xfId="0" applyNumberFormat="1" applyFill="1"/>
    <xf numFmtId="1" fontId="7" fillId="0" borderId="0" xfId="0" applyNumberFormat="1" applyFont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41" fillId="0" borderId="0" xfId="0" applyFont="1" applyBorder="1" applyAlignment="1">
      <alignment horizontal="center" vertical="top" wrapText="1"/>
    </xf>
    <xf numFmtId="0" fontId="0" fillId="0" borderId="0" xfId="0" applyAlignment="1"/>
    <xf numFmtId="0" fontId="11" fillId="0" borderId="0" xfId="0" applyFont="1" applyAlignment="1"/>
    <xf numFmtId="0" fontId="41" fillId="8" borderId="4" xfId="0" applyFont="1" applyFill="1" applyBorder="1" applyAlignment="1">
      <alignment vertical="top" wrapText="1"/>
    </xf>
    <xf numFmtId="0" fontId="16" fillId="0" borderId="0" xfId="0" applyFont="1"/>
    <xf numFmtId="0" fontId="7" fillId="9" borderId="3" xfId="0" applyFont="1" applyFill="1" applyBorder="1"/>
    <xf numFmtId="0" fontId="7" fillId="0" borderId="5" xfId="0" applyFont="1" applyBorder="1"/>
    <xf numFmtId="0" fontId="7" fillId="9" borderId="6" xfId="0" applyFont="1" applyFill="1" applyBorder="1"/>
    <xf numFmtId="0" fontId="17" fillId="9" borderId="6" xfId="0" applyFont="1" applyFill="1" applyBorder="1"/>
    <xf numFmtId="0" fontId="42" fillId="8" borderId="7" xfId="0" applyFont="1" applyFill="1" applyBorder="1" applyAlignment="1">
      <alignment vertical="top" wrapText="1"/>
    </xf>
    <xf numFmtId="0" fontId="15" fillId="0" borderId="3" xfId="2" applyFont="1" applyBorder="1" applyAlignment="1" applyProtection="1">
      <alignment horizontal="justify"/>
    </xf>
    <xf numFmtId="0" fontId="0" fillId="0" borderId="8" xfId="0" applyBorder="1"/>
    <xf numFmtId="0" fontId="0" fillId="0" borderId="9" xfId="0" applyBorder="1"/>
    <xf numFmtId="0" fontId="0" fillId="0" borderId="10" xfId="0" applyFill="1" applyBorder="1"/>
    <xf numFmtId="0" fontId="0" fillId="10" borderId="5" xfId="0" applyFill="1" applyBorder="1"/>
    <xf numFmtId="0" fontId="7" fillId="0" borderId="0" xfId="0" applyFont="1" applyBorder="1"/>
    <xf numFmtId="0" fontId="0" fillId="0" borderId="0" xfId="0" applyBorder="1"/>
    <xf numFmtId="0" fontId="0" fillId="0" borderId="11" xfId="0" applyFill="1" applyBorder="1"/>
    <xf numFmtId="0" fontId="0" fillId="0" borderId="6" xfId="0" applyBorder="1"/>
    <xf numFmtId="0" fontId="0" fillId="0" borderId="12" xfId="0" applyFill="1" applyBorder="1"/>
    <xf numFmtId="0" fontId="41" fillId="0" borderId="7" xfId="0" applyFont="1" applyFill="1" applyBorder="1" applyAlignment="1">
      <alignment vertical="top" wrapText="1"/>
    </xf>
    <xf numFmtId="0" fontId="41" fillId="0" borderId="13" xfId="0" applyFont="1" applyFill="1" applyBorder="1" applyAlignment="1">
      <alignment vertical="top" wrapText="1"/>
    </xf>
    <xf numFmtId="0" fontId="20" fillId="0" borderId="0" xfId="0" applyFont="1"/>
    <xf numFmtId="0" fontId="8" fillId="0" borderId="0" xfId="0" applyFont="1"/>
    <xf numFmtId="0" fontId="41" fillId="8" borderId="14" xfId="0" applyFont="1" applyFill="1" applyBorder="1" applyAlignment="1">
      <alignment vertical="top" wrapText="1"/>
    </xf>
    <xf numFmtId="0" fontId="41" fillId="0" borderId="14" xfId="0" applyFont="1" applyBorder="1" applyAlignment="1">
      <alignment vertical="top" wrapText="1"/>
    </xf>
    <xf numFmtId="1" fontId="41" fillId="0" borderId="15" xfId="0" applyNumberFormat="1" applyFont="1" applyFill="1" applyBorder="1" applyAlignment="1">
      <alignment horizontal="center" vertical="top" wrapText="1"/>
    </xf>
    <xf numFmtId="1" fontId="41" fillId="0" borderId="16" xfId="0" applyNumberFormat="1" applyFont="1" applyFill="1" applyBorder="1" applyAlignment="1">
      <alignment horizontal="center" vertical="top" wrapText="1"/>
    </xf>
    <xf numFmtId="0" fontId="41" fillId="8" borderId="17" xfId="0" applyFont="1" applyFill="1" applyBorder="1" applyAlignment="1">
      <alignment vertical="top" wrapText="1"/>
    </xf>
    <xf numFmtId="0" fontId="41" fillId="8" borderId="18" xfId="0" applyFont="1" applyFill="1" applyBorder="1" applyAlignment="1">
      <alignment vertical="top" wrapText="1"/>
    </xf>
    <xf numFmtId="0" fontId="41" fillId="10" borderId="0" xfId="0" applyFont="1" applyFill="1" applyBorder="1" applyAlignment="1">
      <alignment horizontal="center" vertical="top" wrapText="1"/>
    </xf>
    <xf numFmtId="2" fontId="41" fillId="0" borderId="14" xfId="0" applyNumberFormat="1" applyFont="1" applyBorder="1" applyAlignment="1">
      <alignment horizontal="center" vertical="top" wrapText="1"/>
    </xf>
    <xf numFmtId="2" fontId="41" fillId="10" borderId="14" xfId="0" applyNumberFormat="1" applyFont="1" applyFill="1" applyBorder="1" applyAlignment="1">
      <alignment horizontal="center" wrapText="1"/>
    </xf>
    <xf numFmtId="2" fontId="41" fillId="10" borderId="14" xfId="0" applyNumberFormat="1" applyFont="1" applyFill="1" applyBorder="1" applyAlignment="1">
      <alignment horizontal="center" vertical="top" wrapText="1"/>
    </xf>
    <xf numFmtId="0" fontId="41" fillId="0" borderId="19" xfId="0" applyFont="1" applyBorder="1" applyAlignment="1">
      <alignment horizontal="left" vertical="top" wrapText="1"/>
    </xf>
    <xf numFmtId="2" fontId="41" fillId="0" borderId="1" xfId="0" applyNumberFormat="1" applyFont="1" applyBorder="1" applyAlignment="1">
      <alignment horizontal="center" vertical="top" wrapText="1"/>
    </xf>
    <xf numFmtId="2" fontId="41" fillId="10" borderId="1" xfId="0" applyNumberFormat="1" applyFont="1" applyFill="1" applyBorder="1" applyAlignment="1">
      <alignment horizontal="center" wrapText="1"/>
    </xf>
    <xf numFmtId="2" fontId="41" fillId="10" borderId="1" xfId="0" applyNumberFormat="1" applyFont="1" applyFill="1" applyBorder="1" applyAlignment="1">
      <alignment horizontal="center" vertical="top" wrapText="1"/>
    </xf>
    <xf numFmtId="0" fontId="41" fillId="0" borderId="20" xfId="0" applyFont="1" applyBorder="1" applyAlignment="1">
      <alignment horizontal="left" vertical="top" wrapText="1"/>
    </xf>
    <xf numFmtId="1" fontId="41" fillId="10" borderId="21" xfId="0" applyNumberFormat="1" applyFont="1" applyFill="1" applyBorder="1" applyAlignment="1">
      <alignment horizontal="center" vertical="top" wrapText="1"/>
    </xf>
    <xf numFmtId="1" fontId="41" fillId="10" borderId="15" xfId="0" applyNumberFormat="1" applyFont="1" applyFill="1" applyBorder="1" applyAlignment="1">
      <alignment horizontal="center" vertical="top" wrapText="1"/>
    </xf>
    <xf numFmtId="1" fontId="41" fillId="10" borderId="16" xfId="0" applyNumberFormat="1" applyFont="1" applyFill="1" applyBorder="1" applyAlignment="1">
      <alignment horizontal="center" vertical="top" wrapText="1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center" wrapText="1"/>
    </xf>
    <xf numFmtId="0" fontId="14" fillId="11" borderId="23" xfId="0" applyFont="1" applyFill="1" applyBorder="1" applyAlignment="1">
      <alignment horizontal="center" wrapText="1"/>
    </xf>
    <xf numFmtId="0" fontId="14" fillId="11" borderId="24" xfId="0" applyFont="1" applyFill="1" applyBorder="1" applyAlignment="1">
      <alignment horizontal="center" wrapText="1"/>
    </xf>
    <xf numFmtId="0" fontId="41" fillId="0" borderId="25" xfId="0" applyFont="1" applyBorder="1" applyAlignment="1">
      <alignment horizontal="center" wrapText="1"/>
    </xf>
    <xf numFmtId="0" fontId="41" fillId="0" borderId="0" xfId="0" applyFont="1" applyBorder="1" applyAlignment="1">
      <alignment horizontal="right" vertical="top" wrapText="1"/>
    </xf>
    <xf numFmtId="0" fontId="15" fillId="0" borderId="23" xfId="2" applyFont="1" applyBorder="1" applyAlignment="1" applyProtection="1">
      <alignment horizontal="center" wrapText="1"/>
    </xf>
    <xf numFmtId="0" fontId="41" fillId="0" borderId="26" xfId="0" applyFont="1" applyBorder="1" applyAlignment="1">
      <alignment horizontal="right" vertical="top" wrapText="1"/>
    </xf>
    <xf numFmtId="0" fontId="41" fillId="8" borderId="21" xfId="0" applyFont="1" applyFill="1" applyBorder="1" applyAlignment="1">
      <alignment horizontal="left" vertical="top" wrapText="1"/>
    </xf>
    <xf numFmtId="0" fontId="41" fillId="8" borderId="15" xfId="0" applyFont="1" applyFill="1" applyBorder="1" applyAlignment="1">
      <alignment horizontal="center" vertical="top" wrapText="1"/>
    </xf>
    <xf numFmtId="0" fontId="41" fillId="8" borderId="16" xfId="0" applyFont="1" applyFill="1" applyBorder="1" applyAlignment="1">
      <alignment horizontal="center" vertical="top" wrapText="1"/>
    </xf>
    <xf numFmtId="0" fontId="41" fillId="0" borderId="21" xfId="0" applyFont="1" applyBorder="1" applyAlignment="1">
      <alignment horizontal="left" vertical="top" wrapText="1"/>
    </xf>
    <xf numFmtId="2" fontId="41" fillId="10" borderId="15" xfId="0" applyNumberFormat="1" applyFont="1" applyFill="1" applyBorder="1" applyAlignment="1">
      <alignment horizontal="center" vertical="top" wrapText="1"/>
    </xf>
    <xf numFmtId="2" fontId="41" fillId="10" borderId="16" xfId="0" applyNumberFormat="1" applyFont="1" applyFill="1" applyBorder="1" applyAlignment="1">
      <alignment horizontal="center" vertical="top" wrapText="1"/>
    </xf>
    <xf numFmtId="0" fontId="13" fillId="0" borderId="26" xfId="0" applyFont="1" applyBorder="1" applyAlignment="1">
      <alignment vertical="top" wrapText="1"/>
    </xf>
    <xf numFmtId="0" fontId="41" fillId="8" borderId="21" xfId="0" applyFont="1" applyFill="1" applyBorder="1" applyAlignment="1">
      <alignment horizontal="center" vertical="top" wrapText="1"/>
    </xf>
    <xf numFmtId="0" fontId="41" fillId="0" borderId="27" xfId="0" applyFont="1" applyBorder="1" applyAlignment="1">
      <alignment vertical="top" wrapText="1"/>
    </xf>
    <xf numFmtId="0" fontId="41" fillId="0" borderId="28" xfId="0" applyFont="1" applyBorder="1" applyAlignment="1">
      <alignment vertical="top" wrapText="1"/>
    </xf>
    <xf numFmtId="0" fontId="41" fillId="0" borderId="23" xfId="0" applyFont="1" applyBorder="1" applyAlignment="1">
      <alignment vertical="top" wrapText="1"/>
    </xf>
    <xf numFmtId="0" fontId="41" fillId="0" borderId="24" xfId="0" applyFont="1" applyBorder="1" applyAlignment="1">
      <alignment vertical="top" wrapText="1"/>
    </xf>
    <xf numFmtId="1" fontId="41" fillId="0" borderId="29" xfId="0" applyNumberFormat="1" applyFont="1" applyFill="1" applyBorder="1" applyAlignment="1">
      <alignment horizontal="center" vertical="top" wrapText="1"/>
    </xf>
    <xf numFmtId="0" fontId="42" fillId="8" borderId="30" xfId="0" applyFont="1" applyFill="1" applyBorder="1" applyAlignment="1">
      <alignment vertical="top" wrapText="1"/>
    </xf>
    <xf numFmtId="0" fontId="42" fillId="8" borderId="29" xfId="0" applyFont="1" applyFill="1" applyBorder="1" applyAlignment="1">
      <alignment horizontal="right" vertical="top" wrapText="1"/>
    </xf>
    <xf numFmtId="0" fontId="42" fillId="8" borderId="15" xfId="0" applyNumberFormat="1" applyFont="1" applyFill="1" applyBorder="1" applyAlignment="1">
      <alignment horizontal="right" vertical="top" wrapText="1"/>
    </xf>
    <xf numFmtId="0" fontId="42" fillId="8" borderId="15" xfId="0" applyFont="1" applyFill="1" applyBorder="1" applyAlignment="1">
      <alignment horizontal="right" vertical="top" wrapText="1"/>
    </xf>
    <xf numFmtId="0" fontId="42" fillId="8" borderId="16" xfId="0" applyFont="1" applyFill="1" applyBorder="1" applyAlignment="1">
      <alignment horizontal="right" vertical="top" wrapText="1"/>
    </xf>
    <xf numFmtId="3" fontId="21" fillId="0" borderId="31" xfId="0" applyNumberFormat="1" applyFont="1" applyFill="1" applyBorder="1" applyAlignment="1"/>
    <xf numFmtId="3" fontId="21" fillId="12" borderId="31" xfId="0" applyNumberFormat="1" applyFont="1" applyFill="1" applyBorder="1" applyAlignment="1"/>
    <xf numFmtId="0" fontId="41" fillId="0" borderId="0" xfId="0" applyFont="1" applyFill="1" applyBorder="1" applyAlignment="1">
      <alignment vertical="top" wrapText="1"/>
    </xf>
    <xf numFmtId="1" fontId="41" fillId="0" borderId="0" xfId="0" applyNumberFormat="1" applyFont="1" applyFill="1" applyBorder="1" applyAlignment="1">
      <alignment horizontal="center" vertical="top" wrapText="1"/>
    </xf>
    <xf numFmtId="0" fontId="11" fillId="0" borderId="0" xfId="0" applyFont="1" applyFill="1"/>
    <xf numFmtId="0" fontId="41" fillId="0" borderId="0" xfId="0" applyFont="1" applyFill="1" applyBorder="1" applyAlignment="1">
      <alignment horizontal="left" vertical="top" wrapText="1"/>
    </xf>
    <xf numFmtId="2" fontId="41" fillId="0" borderId="0" xfId="0" applyNumberFormat="1" applyFont="1" applyFill="1" applyBorder="1" applyAlignment="1">
      <alignment horizontal="center" vertical="top" wrapText="1"/>
    </xf>
    <xf numFmtId="0" fontId="41" fillId="10" borderId="11" xfId="0" applyFont="1" applyFill="1" applyBorder="1" applyAlignment="1">
      <alignment horizontal="center" wrapText="1"/>
    </xf>
    <xf numFmtId="0" fontId="41" fillId="0" borderId="32" xfId="0" applyFont="1" applyBorder="1" applyAlignment="1">
      <alignment horizontal="left" vertical="top" wrapText="1"/>
    </xf>
    <xf numFmtId="2" fontId="41" fillId="10" borderId="33" xfId="0" applyNumberFormat="1" applyFont="1" applyFill="1" applyBorder="1" applyAlignment="1">
      <alignment horizontal="center" wrapText="1"/>
    </xf>
    <xf numFmtId="2" fontId="41" fillId="10" borderId="34" xfId="0" applyNumberFormat="1" applyFont="1" applyFill="1" applyBorder="1" applyAlignment="1">
      <alignment horizontal="center" wrapText="1"/>
    </xf>
    <xf numFmtId="0" fontId="41" fillId="0" borderId="35" xfId="0" applyFont="1" applyBorder="1" applyAlignment="1">
      <alignment horizontal="left" vertical="top" wrapText="1"/>
    </xf>
    <xf numFmtId="2" fontId="41" fillId="0" borderId="36" xfId="0" applyNumberFormat="1" applyFont="1" applyBorder="1" applyAlignment="1">
      <alignment horizontal="center" vertical="top" wrapText="1"/>
    </xf>
    <xf numFmtId="2" fontId="41" fillId="0" borderId="37" xfId="0" applyNumberFormat="1" applyFont="1" applyBorder="1" applyAlignment="1">
      <alignment horizontal="center" vertical="top" wrapText="1"/>
    </xf>
    <xf numFmtId="0" fontId="41" fillId="0" borderId="25" xfId="0" applyFont="1" applyBorder="1" applyAlignment="1">
      <alignment horizontal="left" vertical="top" wrapText="1"/>
    </xf>
    <xf numFmtId="2" fontId="41" fillId="0" borderId="38" xfId="0" applyNumberFormat="1" applyFont="1" applyBorder="1" applyAlignment="1">
      <alignment horizontal="center" vertical="top" wrapText="1"/>
    </xf>
    <xf numFmtId="2" fontId="41" fillId="0" borderId="39" xfId="0" applyNumberFormat="1" applyFont="1" applyBorder="1" applyAlignment="1">
      <alignment horizontal="center" vertical="top" wrapText="1"/>
    </xf>
    <xf numFmtId="0" fontId="41" fillId="8" borderId="40" xfId="0" applyFont="1" applyFill="1" applyBorder="1" applyAlignment="1">
      <alignment vertical="top" wrapText="1"/>
    </xf>
    <xf numFmtId="0" fontId="41" fillId="8" borderId="26" xfId="0" applyFont="1" applyFill="1" applyBorder="1" applyAlignment="1">
      <alignment vertical="top" wrapText="1"/>
    </xf>
    <xf numFmtId="0" fontId="41" fillId="8" borderId="11" xfId="0" applyFont="1" applyFill="1" applyBorder="1" applyAlignment="1">
      <alignment vertical="top" wrapText="1"/>
    </xf>
    <xf numFmtId="0" fontId="41" fillId="8" borderId="33" xfId="0" applyFont="1" applyFill="1" applyBorder="1" applyAlignment="1">
      <alignment vertical="top" wrapText="1"/>
    </xf>
    <xf numFmtId="0" fontId="41" fillId="8" borderId="34" xfId="0" applyFont="1" applyFill="1" applyBorder="1" applyAlignment="1">
      <alignment vertical="top" wrapText="1"/>
    </xf>
    <xf numFmtId="0" fontId="41" fillId="0" borderId="41" xfId="0" applyFont="1" applyBorder="1" applyAlignment="1">
      <alignment vertical="top" wrapText="1"/>
    </xf>
    <xf numFmtId="0" fontId="41" fillId="0" borderId="42" xfId="0" applyFont="1" applyBorder="1" applyAlignment="1">
      <alignment vertical="top" wrapText="1"/>
    </xf>
    <xf numFmtId="3" fontId="21" fillId="0" borderId="43" xfId="0" applyNumberFormat="1" applyFont="1" applyFill="1" applyBorder="1" applyAlignment="1"/>
    <xf numFmtId="0" fontId="41" fillId="0" borderId="36" xfId="0" applyFont="1" applyBorder="1" applyAlignment="1">
      <alignment vertical="top" wrapText="1"/>
    </xf>
    <xf numFmtId="0" fontId="41" fillId="0" borderId="37" xfId="0" applyFont="1" applyBorder="1" applyAlignment="1">
      <alignment vertical="top" wrapText="1"/>
    </xf>
    <xf numFmtId="3" fontId="21" fillId="12" borderId="44" xfId="0" applyNumberFormat="1" applyFont="1" applyFill="1" applyBorder="1" applyAlignment="1"/>
    <xf numFmtId="0" fontId="41" fillId="0" borderId="45" xfId="0" applyFont="1" applyBorder="1" applyAlignment="1">
      <alignment horizontal="left" vertical="top" wrapText="1"/>
    </xf>
    <xf numFmtId="0" fontId="41" fillId="0" borderId="46" xfId="0" applyFont="1" applyBorder="1" applyAlignment="1">
      <alignment horizontal="left" vertical="top" wrapText="1"/>
    </xf>
    <xf numFmtId="0" fontId="41" fillId="0" borderId="47" xfId="0" applyFont="1" applyBorder="1" applyAlignment="1">
      <alignment horizontal="center" wrapText="1"/>
    </xf>
    <xf numFmtId="0" fontId="15" fillId="11" borderId="47" xfId="2" applyFont="1" applyFill="1" applyBorder="1" applyAlignment="1" applyProtection="1">
      <alignment horizontal="center" wrapText="1"/>
    </xf>
    <xf numFmtId="0" fontId="14" fillId="11" borderId="47" xfId="0" applyFont="1" applyFill="1" applyBorder="1" applyAlignment="1">
      <alignment horizontal="center" wrapText="1"/>
    </xf>
    <xf numFmtId="0" fontId="14" fillId="11" borderId="48" xfId="0" applyFont="1" applyFill="1" applyBorder="1" applyAlignment="1">
      <alignment horizontal="center" wrapText="1"/>
    </xf>
    <xf numFmtId="3" fontId="21" fillId="0" borderId="14" xfId="0" applyNumberFormat="1" applyFont="1" applyFill="1" applyBorder="1" applyAlignment="1"/>
    <xf numFmtId="3" fontId="21" fillId="0" borderId="35" xfId="0" applyNumberFormat="1" applyFont="1" applyFill="1" applyBorder="1" applyAlignment="1"/>
    <xf numFmtId="3" fontId="21" fillId="0" borderId="36" xfId="0" applyNumberFormat="1" applyFont="1" applyFill="1" applyBorder="1" applyAlignment="1"/>
    <xf numFmtId="3" fontId="21" fillId="0" borderId="19" xfId="0" applyNumberFormat="1" applyFont="1" applyFill="1" applyBorder="1" applyAlignment="1"/>
    <xf numFmtId="3" fontId="21" fillId="0" borderId="25" xfId="0" applyNumberFormat="1" applyFont="1" applyFill="1" applyBorder="1" applyAlignment="1"/>
    <xf numFmtId="3" fontId="21" fillId="0" borderId="38" xfId="0" applyNumberFormat="1" applyFont="1" applyFill="1" applyBorder="1" applyAlignment="1"/>
    <xf numFmtId="3" fontId="21" fillId="13" borderId="36" xfId="0" applyNumberFormat="1" applyFont="1" applyFill="1" applyBorder="1" applyAlignment="1"/>
    <xf numFmtId="3" fontId="21" fillId="13" borderId="14" xfId="0" applyNumberFormat="1" applyFont="1" applyFill="1" applyBorder="1" applyAlignment="1"/>
    <xf numFmtId="3" fontId="21" fillId="13" borderId="38" xfId="0" applyNumberFormat="1" applyFont="1" applyFill="1" applyBorder="1" applyAlignment="1"/>
    <xf numFmtId="3" fontId="21" fillId="13" borderId="37" xfId="0" applyNumberFormat="1" applyFont="1" applyFill="1" applyBorder="1" applyAlignment="1"/>
    <xf numFmtId="3" fontId="21" fillId="13" borderId="1" xfId="0" applyNumberFormat="1" applyFont="1" applyFill="1" applyBorder="1" applyAlignment="1"/>
    <xf numFmtId="3" fontId="21" fillId="13" borderId="39" xfId="0" applyNumberFormat="1" applyFont="1" applyFill="1" applyBorder="1" applyAlignment="1"/>
    <xf numFmtId="0" fontId="0" fillId="0" borderId="14" xfId="0" applyBorder="1"/>
    <xf numFmtId="0" fontId="42" fillId="8" borderId="14" xfId="0" applyFont="1" applyFill="1" applyBorder="1" applyAlignment="1">
      <alignment horizontal="center" vertical="top" wrapText="1"/>
    </xf>
    <xf numFmtId="3" fontId="1" fillId="0" borderId="43" xfId="0" applyNumberFormat="1" applyFont="1" applyFill="1" applyBorder="1" applyAlignment="1"/>
    <xf numFmtId="3" fontId="1" fillId="12" borderId="31" xfId="0" applyNumberFormat="1" applyFont="1" applyFill="1" applyBorder="1" applyAlignment="1"/>
    <xf numFmtId="3" fontId="1" fillId="0" borderId="31" xfId="0" applyNumberFormat="1" applyFont="1" applyFill="1" applyBorder="1" applyAlignment="1"/>
    <xf numFmtId="3" fontId="21" fillId="10" borderId="31" xfId="0" applyNumberFormat="1" applyFont="1" applyFill="1" applyBorder="1" applyAlignment="1"/>
    <xf numFmtId="3" fontId="1" fillId="10" borderId="31" xfId="0" applyNumberFormat="1" applyFont="1" applyFill="1" applyBorder="1" applyAlignment="1"/>
    <xf numFmtId="0" fontId="1" fillId="0" borderId="0" xfId="0" applyFont="1"/>
    <xf numFmtId="0" fontId="42" fillId="0" borderId="35" xfId="0" applyFont="1" applyBorder="1" applyAlignment="1">
      <alignment horizontal="center" wrapText="1"/>
    </xf>
    <xf numFmtId="0" fontId="22" fillId="0" borderId="0" xfId="5" applyFont="1" applyFill="1" applyBorder="1" applyAlignment="1">
      <alignment horizontal="left" vertical="top"/>
    </xf>
    <xf numFmtId="3" fontId="1" fillId="0" borderId="31" xfId="4" applyNumberFormat="1" applyFont="1" applyFill="1" applyBorder="1" applyAlignment="1"/>
    <xf numFmtId="0" fontId="22" fillId="0" borderId="0" xfId="0" applyFont="1" applyFill="1" applyBorder="1" applyAlignment="1">
      <alignment horizontal="left"/>
    </xf>
    <xf numFmtId="0" fontId="41" fillId="14" borderId="22" xfId="0" applyFont="1" applyFill="1" applyBorder="1" applyAlignment="1">
      <alignment vertical="top" wrapText="1"/>
    </xf>
    <xf numFmtId="0" fontId="41" fillId="14" borderId="49" xfId="0" applyFont="1" applyFill="1" applyBorder="1" applyAlignment="1">
      <alignment vertical="top" wrapText="1"/>
    </xf>
    <xf numFmtId="3" fontId="1" fillId="14" borderId="50" xfId="0" applyNumberFormat="1" applyFont="1" applyFill="1" applyBorder="1" applyAlignment="1"/>
    <xf numFmtId="3" fontId="21" fillId="14" borderId="50" xfId="0" applyNumberFormat="1" applyFont="1" applyFill="1" applyBorder="1" applyAlignment="1"/>
    <xf numFmtId="3" fontId="21" fillId="14" borderId="51" xfId="0" applyNumberFormat="1" applyFont="1" applyFill="1" applyBorder="1" applyAlignment="1"/>
    <xf numFmtId="3" fontId="1" fillId="0" borderId="0" xfId="4" applyNumberFormat="1" applyFont="1" applyFill="1" applyBorder="1" applyAlignment="1"/>
    <xf numFmtId="3" fontId="43" fillId="0" borderId="0" xfId="4" applyNumberFormat="1" applyFont="1" applyFill="1" applyBorder="1" applyAlignment="1"/>
    <xf numFmtId="0" fontId="1" fillId="0" borderId="0" xfId="4" applyNumberFormat="1" applyFont="1" applyFill="1" applyBorder="1" applyAlignment="1"/>
    <xf numFmtId="3" fontId="1" fillId="0" borderId="0" xfId="0" applyNumberFormat="1" applyFont="1" applyFill="1" applyBorder="1" applyAlignment="1"/>
    <xf numFmtId="0" fontId="44" fillId="0" borderId="0" xfId="0" applyFont="1"/>
    <xf numFmtId="0" fontId="23" fillId="0" borderId="0" xfId="0" applyFont="1"/>
    <xf numFmtId="10" fontId="10" fillId="2" borderId="1" xfId="0" applyNumberFormat="1" applyFont="1" applyFill="1" applyBorder="1" applyAlignment="1" applyProtection="1">
      <alignment horizontal="center" vertical="center"/>
      <protection locked="0"/>
    </xf>
    <xf numFmtId="3" fontId="1" fillId="0" borderId="14" xfId="0" applyNumberFormat="1" applyFont="1" applyFill="1" applyBorder="1" applyAlignment="1"/>
    <xf numFmtId="2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left" vertical="center"/>
    </xf>
    <xf numFmtId="0" fontId="35" fillId="0" borderId="0" xfId="0" applyFont="1"/>
    <xf numFmtId="0" fontId="45" fillId="0" borderId="0" xfId="0" applyFont="1"/>
    <xf numFmtId="0" fontId="46" fillId="7" borderId="0" xfId="1" applyFont="1" applyAlignment="1">
      <alignment horizontal="left" vertical="center"/>
    </xf>
    <xf numFmtId="0" fontId="10" fillId="2" borderId="1" xfId="0" quotePrefix="1" applyNumberFormat="1" applyFont="1" applyFill="1" applyBorder="1" applyAlignment="1" applyProtection="1">
      <alignment horizontal="center" vertical="center"/>
      <protection locked="0"/>
    </xf>
    <xf numFmtId="0" fontId="38" fillId="0" borderId="0" xfId="2" applyFont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Protection="1">
      <protection locked="0"/>
    </xf>
    <xf numFmtId="0" fontId="47" fillId="0" borderId="0" xfId="0" applyFont="1" applyFill="1" applyBorder="1" applyProtection="1">
      <protection locked="0"/>
    </xf>
    <xf numFmtId="14" fontId="10" fillId="0" borderId="0" xfId="0" applyNumberFormat="1" applyFont="1" applyFill="1" applyBorder="1" applyProtection="1">
      <protection locked="0"/>
    </xf>
    <xf numFmtId="14" fontId="10" fillId="0" borderId="0" xfId="0" applyNumberFormat="1" applyFont="1" applyFill="1" applyProtection="1">
      <protection locked="0"/>
    </xf>
    <xf numFmtId="0" fontId="10" fillId="0" borderId="0" xfId="0" applyFont="1" applyFill="1" applyProtection="1"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0" fontId="10" fillId="4" borderId="0" xfId="0" applyFont="1" applyFill="1" applyProtection="1">
      <protection locked="0"/>
    </xf>
    <xf numFmtId="0" fontId="10" fillId="4" borderId="35" xfId="0" applyFont="1" applyFill="1" applyBorder="1" applyAlignment="1" applyProtection="1">
      <alignment horizontal="center" wrapText="1"/>
      <protection locked="0"/>
    </xf>
    <xf numFmtId="0" fontId="10" fillId="4" borderId="36" xfId="0" applyFont="1" applyFill="1" applyBorder="1" applyAlignment="1" applyProtection="1">
      <alignment wrapText="1"/>
      <protection locked="0"/>
    </xf>
    <xf numFmtId="49" fontId="10" fillId="4" borderId="36" xfId="0" applyNumberFormat="1" applyFont="1" applyFill="1" applyBorder="1" applyAlignment="1" applyProtection="1">
      <alignment horizontal="center" vertical="center" wrapText="1"/>
      <protection locked="0"/>
    </xf>
    <xf numFmtId="49" fontId="47" fillId="4" borderId="3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3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Fill="1" applyBorder="1" applyAlignment="1" applyProtection="1">
      <alignment horizontal="left" vertical="center" wrapText="1"/>
      <protection locked="0"/>
    </xf>
    <xf numFmtId="49" fontId="10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47" fillId="0" borderId="0" xfId="0" applyFont="1" applyAlignment="1" applyProtection="1">
      <alignment wrapText="1"/>
      <protection locked="0"/>
    </xf>
    <xf numFmtId="49" fontId="47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10" fillId="5" borderId="46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52" xfId="0" applyNumberFormat="1" applyFont="1" applyFill="1" applyBorder="1" applyAlignment="1" applyProtection="1">
      <alignment horizontal="left" vertical="center" wrapText="1"/>
      <protection locked="0"/>
    </xf>
    <xf numFmtId="49" fontId="47" fillId="5" borderId="52" xfId="0" applyNumberFormat="1" applyFont="1" applyFill="1" applyBorder="1" applyAlignment="1" applyProtection="1">
      <alignment horizontal="left" vertical="center" wrapText="1"/>
      <protection locked="0"/>
    </xf>
    <xf numFmtId="0" fontId="10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horizontal="center" vertical="center"/>
      <protection locked="0"/>
    </xf>
    <xf numFmtId="1" fontId="24" fillId="0" borderId="0" xfId="0" applyNumberFormat="1" applyFont="1" applyFill="1" applyBorder="1" applyAlignment="1" applyProtection="1">
      <alignment horizontal="center" vertical="center"/>
      <protection locked="0"/>
    </xf>
    <xf numFmtId="1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left" vertical="center"/>
      <protection locked="0"/>
    </xf>
    <xf numFmtId="49" fontId="10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47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49" fontId="10" fillId="6" borderId="46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52" xfId="0" applyNumberFormat="1" applyFont="1" applyFill="1" applyBorder="1" applyAlignment="1" applyProtection="1">
      <alignment horizontal="left" vertical="center" wrapText="1"/>
      <protection locked="0"/>
    </xf>
    <xf numFmtId="49" fontId="47" fillId="6" borderId="52" xfId="0" applyNumberFormat="1" applyFont="1" applyFill="1" applyBorder="1" applyAlignment="1" applyProtection="1">
      <alignment horizontal="left" vertical="center" wrapText="1"/>
      <protection locked="0"/>
    </xf>
    <xf numFmtId="164" fontId="10" fillId="6" borderId="17" xfId="0" applyNumberFormat="1" applyFont="1" applyFill="1" applyBorder="1" applyAlignment="1" applyProtection="1">
      <alignment horizontal="center" vertical="center"/>
      <protection locked="0"/>
    </xf>
    <xf numFmtId="164" fontId="10" fillId="0" borderId="0" xfId="0" applyNumberFormat="1" applyFont="1" applyFill="1" applyBorder="1" applyAlignment="1" applyProtection="1">
      <alignment horizontal="center" vertical="center"/>
      <protection locked="0"/>
    </xf>
    <xf numFmtId="164" fontId="24" fillId="0" borderId="0" xfId="0" applyNumberFormat="1" applyFont="1" applyFill="1" applyBorder="1" applyAlignment="1" applyProtection="1">
      <alignment horizontal="center" vertical="center"/>
      <protection locked="0"/>
    </xf>
    <xf numFmtId="1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24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46" xfId="0" applyNumberFormat="1" applyFont="1" applyFill="1" applyBorder="1" applyAlignment="1" applyProtection="1">
      <alignment horizontal="center" vertical="center" wrapText="1"/>
      <protection locked="0"/>
    </xf>
    <xf numFmtId="49" fontId="47" fillId="0" borderId="52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52" xfId="0" applyNumberFormat="1" applyFont="1" applyFill="1" applyBorder="1" applyAlignment="1" applyProtection="1">
      <alignment horizontal="center" vertical="center" wrapText="1"/>
      <protection locked="0"/>
    </xf>
    <xf numFmtId="164" fontId="10" fillId="5" borderId="17" xfId="0" applyNumberFormat="1" applyFont="1" applyFill="1" applyBorder="1" applyAlignment="1" applyProtection="1">
      <alignment horizontal="center" vertical="center"/>
      <protection locked="0"/>
    </xf>
    <xf numFmtId="0" fontId="10" fillId="15" borderId="19" xfId="0" applyNumberFormat="1" applyFont="1" applyFill="1" applyBorder="1" applyAlignment="1" applyProtection="1">
      <alignment horizontal="center" vertical="center" wrapText="1"/>
      <protection locked="0"/>
    </xf>
    <xf numFmtId="49" fontId="10" fillId="15" borderId="14" xfId="0" applyNumberFormat="1" applyFont="1" applyFill="1" applyBorder="1" applyAlignment="1" applyProtection="1">
      <alignment horizontal="left" vertical="center" wrapText="1"/>
      <protection locked="0"/>
    </xf>
    <xf numFmtId="49" fontId="47" fillId="15" borderId="14" xfId="0" applyNumberFormat="1" applyFont="1" applyFill="1" applyBorder="1" applyAlignment="1" applyProtection="1">
      <alignment horizontal="left" vertical="center" wrapText="1"/>
      <protection locked="0"/>
    </xf>
    <xf numFmtId="1" fontId="10" fillId="15" borderId="1" xfId="0" applyNumberFormat="1" applyFont="1" applyFill="1" applyBorder="1" applyAlignment="1" applyProtection="1">
      <alignment horizontal="center" vertical="center"/>
      <protection locked="0"/>
    </xf>
    <xf numFmtId="0" fontId="10" fillId="15" borderId="1" xfId="0" applyNumberFormat="1" applyFont="1" applyFill="1" applyBorder="1" applyAlignment="1" applyProtection="1">
      <alignment horizontal="center" vertical="center"/>
      <protection locked="0"/>
    </xf>
    <xf numFmtId="10" fontId="10" fillId="0" borderId="0" xfId="0" applyNumberFormat="1" applyFont="1" applyFill="1" applyBorder="1" applyAlignment="1" applyProtection="1">
      <alignment horizontal="center" vertical="center"/>
      <protection locked="0"/>
    </xf>
    <xf numFmtId="10" fontId="24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0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47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14" xfId="0" applyNumberFormat="1" applyFont="1" applyFill="1" applyBorder="1" applyAlignment="1" applyProtection="1">
      <alignment horizontal="left" vertical="center" wrapText="1" indent="3"/>
      <protection locked="0"/>
    </xf>
    <xf numFmtId="0" fontId="24" fillId="0" borderId="0" xfId="0" applyNumberFormat="1" applyFont="1" applyFill="1" applyAlignment="1" applyProtection="1">
      <alignment horizontal="center" vertical="center"/>
      <protection locked="0"/>
    </xf>
    <xf numFmtId="49" fontId="10" fillId="3" borderId="23" xfId="0" applyNumberFormat="1" applyFont="1" applyFill="1" applyBorder="1" applyAlignment="1" applyProtection="1">
      <alignment horizontal="left" vertical="center" wrapText="1"/>
      <protection locked="0"/>
    </xf>
    <xf numFmtId="9" fontId="10" fillId="2" borderId="1" xfId="6" applyFont="1" applyFill="1" applyBorder="1" applyAlignment="1" applyProtection="1">
      <alignment horizontal="center" vertical="center"/>
      <protection locked="0"/>
    </xf>
    <xf numFmtId="9" fontId="10" fillId="0" borderId="0" xfId="6" applyFont="1" applyFill="1" applyBorder="1" applyAlignment="1" applyProtection="1">
      <alignment horizontal="center" vertical="center"/>
      <protection locked="0"/>
    </xf>
    <xf numFmtId="9" fontId="24" fillId="0" borderId="0" xfId="6" applyFont="1" applyFill="1" applyBorder="1" applyAlignment="1" applyProtection="1">
      <alignment horizontal="center" vertical="center"/>
      <protection locked="0"/>
    </xf>
    <xf numFmtId="9" fontId="10" fillId="0" borderId="1" xfId="6" applyFont="1" applyFill="1" applyBorder="1" applyAlignment="1" applyProtection="1">
      <alignment horizontal="center" vertical="center"/>
      <protection locked="0"/>
    </xf>
    <xf numFmtId="1" fontId="10" fillId="14" borderId="1" xfId="0" applyNumberFormat="1" applyFont="1" applyFill="1" applyBorder="1" applyAlignment="1" applyProtection="1">
      <alignment horizontal="center" vertical="center"/>
      <protection locked="0"/>
    </xf>
    <xf numFmtId="2" fontId="10" fillId="0" borderId="0" xfId="0" applyNumberFormat="1" applyFont="1" applyFill="1" applyBorder="1" applyAlignment="1" applyProtection="1">
      <alignment horizontal="center" vertical="center"/>
      <protection locked="0"/>
    </xf>
    <xf numFmtId="2" fontId="24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/>
      <protection locked="0"/>
    </xf>
    <xf numFmtId="0" fontId="10" fillId="4" borderId="0" xfId="0" applyFont="1" applyFill="1" applyAlignment="1" applyProtection="1">
      <alignment horizontal="left"/>
      <protection locked="0"/>
    </xf>
    <xf numFmtId="0" fontId="47" fillId="4" borderId="0" xfId="0" applyFont="1" applyFill="1" applyProtection="1">
      <protection locked="0"/>
    </xf>
    <xf numFmtId="0" fontId="10" fillId="4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NumberFormat="1" applyFont="1" applyFill="1" applyAlignment="1" applyProtection="1">
      <alignment horizontal="center" vertical="center"/>
      <protection locked="0"/>
    </xf>
    <xf numFmtId="1" fontId="10" fillId="4" borderId="1" xfId="0" applyNumberFormat="1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1" fontId="10" fillId="0" borderId="1" xfId="0" applyNumberFormat="1" applyFont="1" applyFill="1" applyBorder="1" applyAlignment="1" applyProtection="1">
      <alignment horizontal="center" vertical="center"/>
    </xf>
    <xf numFmtId="2" fontId="10" fillId="4" borderId="1" xfId="0" applyNumberFormat="1" applyFont="1" applyFill="1" applyBorder="1" applyAlignment="1" applyProtection="1">
      <alignment horizontal="center" vertical="center"/>
    </xf>
    <xf numFmtId="2" fontId="10" fillId="14" borderId="1" xfId="0" applyNumberFormat="1" applyFont="1" applyFill="1" applyBorder="1" applyAlignment="1" applyProtection="1">
      <alignment horizontal="center" vertical="center"/>
    </xf>
    <xf numFmtId="2" fontId="10" fillId="0" borderId="1" xfId="0" applyNumberFormat="1" applyFont="1" applyFill="1" applyBorder="1" applyAlignment="1" applyProtection="1">
      <alignment horizontal="center" vertical="center"/>
    </xf>
    <xf numFmtId="1" fontId="10" fillId="14" borderId="24" xfId="0" applyNumberFormat="1" applyFont="1" applyFill="1" applyBorder="1" applyAlignment="1" applyProtection="1">
      <alignment horizontal="center" vertical="center"/>
    </xf>
    <xf numFmtId="164" fontId="10" fillId="14" borderId="1" xfId="0" applyNumberFormat="1" applyFont="1" applyFill="1" applyBorder="1" applyAlignment="1" applyProtection="1">
      <alignment horizontal="center" vertical="center"/>
    </xf>
    <xf numFmtId="3" fontId="39" fillId="12" borderId="31" xfId="0" applyNumberFormat="1" applyFont="1" applyFill="1" applyBorder="1" applyAlignment="1"/>
    <xf numFmtId="3" fontId="21" fillId="0" borderId="0" xfId="0" applyNumberFormat="1" applyFont="1" applyFill="1" applyBorder="1" applyAlignment="1"/>
    <xf numFmtId="0" fontId="39" fillId="0" borderId="0" xfId="0" applyFont="1"/>
    <xf numFmtId="0" fontId="39" fillId="9" borderId="3" xfId="0" applyFont="1" applyFill="1" applyBorder="1"/>
    <xf numFmtId="0" fontId="39" fillId="0" borderId="0" xfId="0" applyFont="1" applyFill="1"/>
    <xf numFmtId="3" fontId="39" fillId="0" borderId="0" xfId="0" applyNumberFormat="1" applyFont="1" applyFill="1" applyBorder="1" applyAlignment="1"/>
    <xf numFmtId="3" fontId="7" fillId="0" borderId="14" xfId="0" applyNumberFormat="1" applyFont="1" applyFill="1" applyBorder="1" applyAlignment="1"/>
    <xf numFmtId="0" fontId="1" fillId="0" borderId="0" xfId="0" applyFont="1" applyFill="1"/>
    <xf numFmtId="0" fontId="4" fillId="3" borderId="46" xfId="0" applyFont="1" applyFill="1" applyBorder="1" applyAlignment="1" applyProtection="1">
      <alignment horizontal="left" vertical="center" wrapText="1"/>
      <protection locked="0"/>
    </xf>
    <xf numFmtId="0" fontId="4" fillId="3" borderId="52" xfId="0" applyFont="1" applyFill="1" applyBorder="1" applyAlignment="1" applyProtection="1">
      <alignment horizontal="left" vertical="center" wrapText="1"/>
      <protection locked="0"/>
    </xf>
    <xf numFmtId="0" fontId="4" fillId="3" borderId="17" xfId="0" applyFont="1" applyFill="1" applyBorder="1" applyAlignment="1" applyProtection="1">
      <alignment horizontal="left" vertical="center" wrapText="1"/>
      <protection locked="0"/>
    </xf>
    <xf numFmtId="0" fontId="12" fillId="4" borderId="0" xfId="0" applyFont="1" applyFill="1" applyAlignment="1" applyProtection="1">
      <alignment horizontal="center" vertical="center"/>
      <protection locked="0"/>
    </xf>
    <xf numFmtId="49" fontId="10" fillId="6" borderId="46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52" xfId="0" applyNumberFormat="1" applyFont="1" applyFill="1" applyBorder="1" applyAlignment="1" applyProtection="1">
      <alignment horizontal="center" vertical="center" wrapText="1"/>
      <protection locked="0"/>
    </xf>
    <xf numFmtId="49" fontId="10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53" xfId="0" applyFont="1" applyFill="1" applyBorder="1" applyAlignment="1" applyProtection="1">
      <alignment horizontal="left" vertical="center" wrapText="1"/>
      <protection locked="0"/>
    </xf>
    <xf numFmtId="0" fontId="4" fillId="3" borderId="45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28" xfId="0" applyFont="1" applyFill="1" applyBorder="1" applyAlignment="1" applyProtection="1">
      <alignment horizontal="left" vertical="center" wrapText="1"/>
      <protection locked="0"/>
    </xf>
    <xf numFmtId="0" fontId="41" fillId="8" borderId="54" xfId="0" applyFont="1" applyFill="1" applyBorder="1" applyAlignment="1">
      <alignment horizontal="left" vertical="top" wrapText="1"/>
    </xf>
    <xf numFmtId="0" fontId="41" fillId="8" borderId="55" xfId="0" applyFont="1" applyFill="1" applyBorder="1" applyAlignment="1">
      <alignment horizontal="left" vertical="top" wrapText="1"/>
    </xf>
    <xf numFmtId="0" fontId="41" fillId="8" borderId="56" xfId="0" applyFont="1" applyFill="1" applyBorder="1" applyAlignment="1">
      <alignment horizontal="left" vertical="top" wrapText="1"/>
    </xf>
    <xf numFmtId="0" fontId="41" fillId="0" borderId="21" xfId="0" applyFont="1" applyBorder="1" applyAlignment="1">
      <alignment horizontal="center" vertical="top" wrapText="1"/>
    </xf>
    <xf numFmtId="0" fontId="41" fillId="0" borderId="15" xfId="0" applyFont="1" applyBorder="1" applyAlignment="1">
      <alignment horizontal="center" vertical="top" wrapText="1"/>
    </xf>
    <xf numFmtId="0" fontId="41" fillId="0" borderId="1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left"/>
    </xf>
  </cellXfs>
  <cellStyles count="7">
    <cellStyle name="Good" xfId="1" builtinId="26"/>
    <cellStyle name="Hyperlink" xfId="2" builtinId="8"/>
    <cellStyle name="Normal" xfId="0" builtinId="0"/>
    <cellStyle name="Normal 2" xfId="3"/>
    <cellStyle name="Normal 3" xfId="4"/>
    <cellStyle name="Normale 3" xfId="5"/>
    <cellStyle name="Percent" xfId="6" builtinId="5"/>
  </cellStyles>
  <dxfs count="2">
    <dxf>
      <font>
        <condense val="0"/>
        <extend val="0"/>
        <color indexed="8"/>
      </font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Drop" dropLines="33" dropStyle="combo" dx="22" fmlaLink="'Reference info'!$B$2" fmlaRange="'Reference info'!$B$3:$B$33" noThreeD="1" sel="20" val="0"/>
</file>

<file path=xl/ctrlProps/ctrlProp2.xml><?xml version="1.0" encoding="utf-8"?>
<formControlPr xmlns="http://schemas.microsoft.com/office/spreadsheetml/2009/9/main" objectType="Drop" dropLines="10" dropStyle="combo" dx="22" fmlaLink="'Reference info'!$C$2" fmlaRange="'Reference info'!$C$3:$C$19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</xdr:row>
          <xdr:rowOff>228600</xdr:rowOff>
        </xdr:from>
        <xdr:to>
          <xdr:col>4</xdr:col>
          <xdr:colOff>1447800</xdr:colOff>
          <xdr:row>4</xdr:row>
          <xdr:rowOff>561975</xdr:rowOff>
        </xdr:to>
        <xdr:sp macro="" textlink="">
          <xdr:nvSpPr>
            <xdr:cNvPr id="6145" name="rule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66675</xdr:rowOff>
        </xdr:from>
        <xdr:to>
          <xdr:col>4</xdr:col>
          <xdr:colOff>1447800</xdr:colOff>
          <xdr:row>5</xdr:row>
          <xdr:rowOff>333375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57151</xdr:colOff>
      <xdr:row>11</xdr:row>
      <xdr:rowOff>47625</xdr:rowOff>
    </xdr:from>
    <xdr:ext cx="3848100" cy="1304925"/>
    <xdr:sp macro="" textlink="">
      <xdr:nvSpPr>
        <xdr:cNvPr id="2" name="TextBox 1"/>
        <xdr:cNvSpPr txBox="1"/>
      </xdr:nvSpPr>
      <xdr:spPr>
        <a:xfrm>
          <a:off x="6953251" y="1933575"/>
          <a:ext cx="3848100" cy="13049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FR" sz="1100" b="1"/>
            <a:t>The calculations on this tab are put in place as an illustration of the model described</a:t>
          </a:r>
          <a:r>
            <a:rPr lang="fr-FR" sz="1100" b="1" baseline="0"/>
            <a:t> in the Appendix to the revised Annex 1 of the Railway Safety Directive. No data should be filled in here. It only serves the purpose of explaining the calculations done.</a:t>
          </a:r>
        </a:p>
        <a:p>
          <a:endParaRPr lang="fr-FR" sz="1100" b="1" baseline="0"/>
        </a:p>
        <a:p>
          <a:r>
            <a:rPr lang="fr-FR" sz="1100" b="1" baseline="0"/>
            <a:t>The calculations are done based on delays for </a:t>
          </a:r>
          <a:r>
            <a:rPr lang="fr-FR" sz="1100" b="1" baseline="0">
              <a:solidFill>
                <a:srgbClr val="FF0000"/>
              </a:solidFill>
            </a:rPr>
            <a:t>ALL accidents</a:t>
          </a:r>
          <a:r>
            <a:rPr lang="fr-FR" sz="1100" b="1" baseline="0"/>
            <a:t>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si@era.europa.e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2:T26"/>
  <sheetViews>
    <sheetView showGridLines="0" workbookViewId="0">
      <selection activeCell="C30" sqref="C30"/>
    </sheetView>
  </sheetViews>
  <sheetFormatPr defaultRowHeight="12.75" x14ac:dyDescent="0.2"/>
  <cols>
    <col min="2" max="2" width="10.85546875" customWidth="1"/>
    <col min="3" max="3" width="16" customWidth="1"/>
  </cols>
  <sheetData>
    <row r="2" spans="2:20" ht="33.75" x14ac:dyDescent="0.5">
      <c r="B2" s="176" t="s">
        <v>345</v>
      </c>
    </row>
    <row r="3" spans="2:20" ht="7.5" customHeight="1" x14ac:dyDescent="0.2">
      <c r="B3" s="153"/>
    </row>
    <row r="4" spans="2:20" ht="23.25" x14ac:dyDescent="0.35">
      <c r="B4" s="173" t="s">
        <v>508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5" spans="2:20" ht="23.25" x14ac:dyDescent="0.35">
      <c r="B5" s="173" t="s">
        <v>509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</row>
    <row r="6" spans="2:20" ht="23.25" x14ac:dyDescent="0.35"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</row>
    <row r="7" spans="2:20" ht="23.25" x14ac:dyDescent="0.35"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</row>
    <row r="8" spans="2:20" ht="23.25" x14ac:dyDescent="0.35"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</row>
    <row r="9" spans="2:20" ht="23.25" x14ac:dyDescent="0.35">
      <c r="B9" s="177" t="s">
        <v>510</v>
      </c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</row>
    <row r="10" spans="2:20" ht="7.5" customHeight="1" x14ac:dyDescent="0.35"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4"/>
      <c r="O10" s="174"/>
      <c r="P10" s="174"/>
      <c r="Q10" s="174"/>
      <c r="R10" s="174"/>
      <c r="S10" s="174"/>
      <c r="T10" s="174"/>
    </row>
    <row r="11" spans="2:20" ht="30" customHeight="1" x14ac:dyDescent="0.35">
      <c r="B11" s="175" t="s">
        <v>515</v>
      </c>
      <c r="C11" s="178" t="s">
        <v>516</v>
      </c>
      <c r="D11" s="175" t="s">
        <v>517</v>
      </c>
      <c r="F11" s="175"/>
      <c r="G11" s="175"/>
      <c r="H11" s="175"/>
      <c r="I11" s="175"/>
      <c r="J11" s="175"/>
      <c r="K11" s="175"/>
      <c r="L11" s="175"/>
      <c r="M11" s="175"/>
      <c r="N11" s="174"/>
      <c r="O11" s="174"/>
      <c r="P11" s="174"/>
      <c r="Q11" s="174"/>
      <c r="R11" s="174"/>
      <c r="S11" s="174"/>
      <c r="T11" s="174"/>
    </row>
    <row r="12" spans="2:20" ht="30" customHeight="1" x14ac:dyDescent="0.35">
      <c r="B12" s="175" t="s">
        <v>511</v>
      </c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</row>
    <row r="13" spans="2:20" ht="30" customHeight="1" x14ac:dyDescent="0.35">
      <c r="B13" s="175" t="s">
        <v>512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</row>
    <row r="14" spans="2:20" ht="30" customHeight="1" x14ac:dyDescent="0.35">
      <c r="B14" s="175" t="s">
        <v>513</v>
      </c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</row>
    <row r="15" spans="2:20" ht="30" customHeight="1" x14ac:dyDescent="0.35">
      <c r="B15" s="175" t="s">
        <v>514</v>
      </c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</row>
    <row r="16" spans="2:20" ht="30" customHeight="1" x14ac:dyDescent="0.2"/>
    <row r="17" spans="2:3" ht="23.25" x14ac:dyDescent="0.2">
      <c r="B17" s="175" t="s">
        <v>518</v>
      </c>
      <c r="C17" s="175"/>
    </row>
    <row r="18" spans="2:3" ht="23.25" x14ac:dyDescent="0.2">
      <c r="B18" s="175"/>
      <c r="C18" s="175"/>
    </row>
    <row r="19" spans="2:3" ht="25.5" x14ac:dyDescent="0.2">
      <c r="B19" s="180" t="s">
        <v>519</v>
      </c>
      <c r="C19" s="175"/>
    </row>
    <row r="21" spans="2:3" ht="15" x14ac:dyDescent="0.2">
      <c r="B21" s="167"/>
    </row>
    <row r="22" spans="2:3" ht="15" x14ac:dyDescent="0.2">
      <c r="B22" s="167"/>
    </row>
    <row r="23" spans="2:3" ht="15" x14ac:dyDescent="0.2">
      <c r="B23" s="167"/>
      <c r="C23" s="168"/>
    </row>
    <row r="24" spans="2:3" ht="15" x14ac:dyDescent="0.2">
      <c r="B24" s="167"/>
      <c r="C24" s="168"/>
    </row>
    <row r="25" spans="2:3" ht="15" x14ac:dyDescent="0.2">
      <c r="B25" s="167"/>
    </row>
    <row r="26" spans="2:3" ht="15" x14ac:dyDescent="0.2">
      <c r="B26" s="167"/>
    </row>
  </sheetData>
  <hyperlinks>
    <hyperlink ref="B19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5" tint="-0.499984740745262"/>
    <pageSetUpPr fitToPage="1"/>
  </sheetPr>
  <dimension ref="A1:G271"/>
  <sheetViews>
    <sheetView showGridLines="0" tabSelected="1" view="pageBreakPreview" topLeftCell="A243" zoomScale="75" zoomScaleNormal="75" zoomScaleSheetLayoutView="75" workbookViewId="0">
      <selection activeCell="C264" sqref="C264"/>
    </sheetView>
  </sheetViews>
  <sheetFormatPr defaultRowHeight="27" customHeight="1" x14ac:dyDescent="0.2"/>
  <cols>
    <col min="1" max="1" width="7.5703125" style="257" customWidth="1"/>
    <col min="2" max="2" width="10.7109375" style="258" customWidth="1"/>
    <col min="3" max="3" width="167.5703125" style="191" customWidth="1"/>
    <col min="4" max="4" width="41.28515625" style="259" customWidth="1"/>
    <col min="5" max="5" width="22.28515625" style="260" customWidth="1"/>
    <col min="6" max="6" width="6.7109375" style="261" customWidth="1"/>
    <col min="7" max="7" width="16" style="248" customWidth="1"/>
    <col min="8" max="16384" width="9.140625" style="191"/>
  </cols>
  <sheetData>
    <row r="1" spans="1:7" s="188" customFormat="1" ht="27" customHeight="1" x14ac:dyDescent="0.2">
      <c r="A1" s="182"/>
      <c r="B1" s="183"/>
      <c r="C1" s="184"/>
      <c r="D1" s="185"/>
      <c r="E1" s="186" t="s">
        <v>527</v>
      </c>
      <c r="F1" s="187"/>
    </row>
    <row r="2" spans="1:7" ht="30" customHeight="1" thickBot="1" x14ac:dyDescent="0.25">
      <c r="A2" s="281" t="s">
        <v>528</v>
      </c>
      <c r="B2" s="281"/>
      <c r="C2" s="281"/>
      <c r="D2" s="281"/>
      <c r="E2" s="281"/>
      <c r="F2" s="189"/>
      <c r="G2" s="190"/>
    </row>
    <row r="3" spans="1:7" ht="30" customHeight="1" x14ac:dyDescent="0.2">
      <c r="A3" s="192" t="s">
        <v>506</v>
      </c>
      <c r="B3" s="193" t="s">
        <v>185</v>
      </c>
      <c r="C3" s="194" t="s">
        <v>186</v>
      </c>
      <c r="D3" s="195" t="s">
        <v>93</v>
      </c>
      <c r="E3" s="196" t="s">
        <v>505</v>
      </c>
      <c r="F3" s="197"/>
      <c r="G3" s="198"/>
    </row>
    <row r="4" spans="1:7" ht="30" customHeight="1" x14ac:dyDescent="0.2">
      <c r="A4" s="278" t="s">
        <v>97</v>
      </c>
      <c r="B4" s="279"/>
      <c r="C4" s="279">
        <v>14</v>
      </c>
      <c r="D4" s="279">
        <v>3</v>
      </c>
      <c r="E4" s="280"/>
      <c r="F4" s="199"/>
      <c r="G4" s="200"/>
    </row>
    <row r="5" spans="1:7" ht="54" customHeight="1" x14ac:dyDescent="0.2">
      <c r="A5" s="201" t="s">
        <v>451</v>
      </c>
      <c r="B5" s="202" t="s">
        <v>95</v>
      </c>
      <c r="C5" s="202" t="s">
        <v>94</v>
      </c>
      <c r="D5" s="203" t="s">
        <v>501</v>
      </c>
      <c r="E5" s="9" t="str">
        <f>INDEX('Reference info'!B3:B33,'Reference info'!B2,1,1)</f>
        <v>LV</v>
      </c>
      <c r="F5" s="197"/>
      <c r="G5" s="198"/>
    </row>
    <row r="6" spans="1:7" ht="30" customHeight="1" x14ac:dyDescent="0.2">
      <c r="A6" s="201" t="s">
        <v>452</v>
      </c>
      <c r="B6" s="202" t="s">
        <v>96</v>
      </c>
      <c r="C6" s="202" t="s">
        <v>187</v>
      </c>
      <c r="D6" s="204"/>
      <c r="E6" s="263">
        <f>INDEX('Reference info'!C3:C19,'Reference info'!C2,1,1)</f>
        <v>2017</v>
      </c>
      <c r="F6" s="197"/>
      <c r="G6" s="198"/>
    </row>
    <row r="7" spans="1:7" ht="5.25" customHeight="1" x14ac:dyDescent="0.2">
      <c r="A7" s="205"/>
      <c r="B7" s="206"/>
      <c r="C7" s="206"/>
      <c r="D7" s="207"/>
      <c r="E7" s="208"/>
      <c r="F7" s="197"/>
      <c r="G7" s="198"/>
    </row>
    <row r="8" spans="1:7" ht="29.25" customHeight="1" x14ac:dyDescent="0.2">
      <c r="A8" s="278" t="s">
        <v>423</v>
      </c>
      <c r="B8" s="279"/>
      <c r="C8" s="279"/>
      <c r="D8" s="279"/>
      <c r="E8" s="280"/>
      <c r="F8" s="197"/>
      <c r="G8" s="198"/>
    </row>
    <row r="9" spans="1:7" ht="30" customHeight="1" x14ac:dyDescent="0.2">
      <c r="A9" s="278" t="s">
        <v>460</v>
      </c>
      <c r="B9" s="279"/>
      <c r="C9" s="279"/>
      <c r="D9" s="279"/>
      <c r="E9" s="280"/>
      <c r="F9" s="199"/>
      <c r="G9" s="200"/>
    </row>
    <row r="10" spans="1:7" ht="30" customHeight="1" x14ac:dyDescent="0.2">
      <c r="A10" s="209">
        <v>1</v>
      </c>
      <c r="B10" s="202" t="s">
        <v>62</v>
      </c>
      <c r="C10" s="202" t="s">
        <v>461</v>
      </c>
      <c r="D10" s="204" t="s">
        <v>98</v>
      </c>
      <c r="E10" s="262">
        <f>+IF(E12&lt;&gt;"-",VALUE(E12),)+IF(E13&lt;&gt;"-",VALUE(E13),)+IF(E14&lt;&gt;"-",VALUE(E14),)+IF(E15&lt;&gt;"-",VALUE(E15),)+IF(E21&lt;&gt;"-",VALUE(E21),)+IF(E22&lt;&gt;"-",VALUE(E22),)+IF(E23&lt;&gt;"-",VALUE(E23),)</f>
        <v>24</v>
      </c>
      <c r="F10" s="210"/>
      <c r="G10" s="211"/>
    </row>
    <row r="11" spans="1:7" ht="30" hidden="1" customHeight="1" x14ac:dyDescent="0.2">
      <c r="A11" s="209">
        <v>2</v>
      </c>
      <c r="B11" s="202" t="s">
        <v>63</v>
      </c>
      <c r="C11" s="202" t="s">
        <v>462</v>
      </c>
      <c r="D11" s="204" t="s">
        <v>98</v>
      </c>
      <c r="E11" s="212">
        <f>+IF(E12&lt;&gt;"-",VALUE(E12),)+IF(E13&lt;&gt;"-",VALUE(E13),)</f>
        <v>0</v>
      </c>
      <c r="F11" s="213"/>
      <c r="G11" s="214"/>
    </row>
    <row r="12" spans="1:7" ht="30" customHeight="1" x14ac:dyDescent="0.2">
      <c r="A12" s="215">
        <v>3</v>
      </c>
      <c r="B12" s="216" t="s">
        <v>337</v>
      </c>
      <c r="C12" s="217" t="s">
        <v>463</v>
      </c>
      <c r="D12" s="218" t="s">
        <v>98</v>
      </c>
      <c r="E12" s="172">
        <v>0</v>
      </c>
      <c r="F12" s="210"/>
      <c r="G12" s="211"/>
    </row>
    <row r="13" spans="1:7" ht="30" customHeight="1" x14ac:dyDescent="0.2">
      <c r="A13" s="215">
        <v>4</v>
      </c>
      <c r="B13" s="216" t="s">
        <v>338</v>
      </c>
      <c r="C13" s="217" t="s">
        <v>464</v>
      </c>
      <c r="D13" s="218" t="s">
        <v>98</v>
      </c>
      <c r="E13" s="172">
        <v>0</v>
      </c>
      <c r="F13" s="210"/>
      <c r="G13" s="211"/>
    </row>
    <row r="14" spans="1:7" ht="30" customHeight="1" x14ac:dyDescent="0.2">
      <c r="A14" s="209">
        <v>5</v>
      </c>
      <c r="B14" s="202" t="s">
        <v>64</v>
      </c>
      <c r="C14" s="202" t="s">
        <v>465</v>
      </c>
      <c r="D14" s="204" t="s">
        <v>98</v>
      </c>
      <c r="E14" s="172">
        <v>1</v>
      </c>
      <c r="F14" s="213"/>
      <c r="G14" s="214"/>
    </row>
    <row r="15" spans="1:7" ht="30" customHeight="1" x14ac:dyDescent="0.2">
      <c r="A15" s="209">
        <v>6</v>
      </c>
      <c r="B15" s="202" t="s">
        <v>65</v>
      </c>
      <c r="C15" s="202" t="s">
        <v>466</v>
      </c>
      <c r="D15" s="204" t="s">
        <v>98</v>
      </c>
      <c r="E15" s="172">
        <v>7</v>
      </c>
      <c r="F15" s="213"/>
      <c r="G15" s="214"/>
    </row>
    <row r="16" spans="1:7" ht="30" customHeight="1" x14ac:dyDescent="0.2">
      <c r="A16" s="215">
        <v>7</v>
      </c>
      <c r="B16" s="216" t="s">
        <v>347</v>
      </c>
      <c r="C16" s="219" t="s">
        <v>467</v>
      </c>
      <c r="D16" s="218" t="s">
        <v>98</v>
      </c>
      <c r="E16" s="172">
        <v>0</v>
      </c>
      <c r="F16" s="210"/>
      <c r="G16" s="211"/>
    </row>
    <row r="17" spans="1:7" ht="30" customHeight="1" x14ac:dyDescent="0.2">
      <c r="A17" s="215">
        <v>8</v>
      </c>
      <c r="B17" s="216" t="s">
        <v>348</v>
      </c>
      <c r="C17" s="219" t="s">
        <v>468</v>
      </c>
      <c r="D17" s="218" t="s">
        <v>98</v>
      </c>
      <c r="E17" s="172">
        <v>0</v>
      </c>
      <c r="F17" s="210"/>
      <c r="G17" s="211"/>
    </row>
    <row r="18" spans="1:7" ht="30" customHeight="1" x14ac:dyDescent="0.2">
      <c r="A18" s="215">
        <v>9</v>
      </c>
      <c r="B18" s="216" t="s">
        <v>349</v>
      </c>
      <c r="C18" s="219" t="s">
        <v>469</v>
      </c>
      <c r="D18" s="218" t="s">
        <v>98</v>
      </c>
      <c r="E18" s="172">
        <v>3</v>
      </c>
      <c r="F18" s="210"/>
      <c r="G18" s="211"/>
    </row>
    <row r="19" spans="1:7" ht="30" customHeight="1" x14ac:dyDescent="0.2">
      <c r="A19" s="215">
        <v>10</v>
      </c>
      <c r="B19" s="216" t="s">
        <v>350</v>
      </c>
      <c r="C19" s="219" t="s">
        <v>470</v>
      </c>
      <c r="D19" s="218" t="s">
        <v>98</v>
      </c>
      <c r="E19" s="172">
        <v>1</v>
      </c>
      <c r="F19" s="210"/>
      <c r="G19" s="211"/>
    </row>
    <row r="20" spans="1:7" ht="30" customHeight="1" x14ac:dyDescent="0.2">
      <c r="A20" s="215">
        <v>11</v>
      </c>
      <c r="B20" s="216" t="s">
        <v>351</v>
      </c>
      <c r="C20" s="219" t="s">
        <v>471</v>
      </c>
      <c r="D20" s="218" t="s">
        <v>98</v>
      </c>
      <c r="E20" s="172">
        <v>0</v>
      </c>
      <c r="F20" s="210"/>
      <c r="G20" s="211"/>
    </row>
    <row r="21" spans="1:7" ht="30" customHeight="1" x14ac:dyDescent="0.2">
      <c r="A21" s="209">
        <v>12</v>
      </c>
      <c r="B21" s="202" t="s">
        <v>66</v>
      </c>
      <c r="C21" s="202" t="s">
        <v>472</v>
      </c>
      <c r="D21" s="204" t="s">
        <v>98</v>
      </c>
      <c r="E21" s="172">
        <v>15</v>
      </c>
      <c r="F21" s="210"/>
      <c r="G21" s="211"/>
    </row>
    <row r="22" spans="1:7" ht="30" customHeight="1" x14ac:dyDescent="0.2">
      <c r="A22" s="209">
        <v>13</v>
      </c>
      <c r="B22" s="217" t="s">
        <v>67</v>
      </c>
      <c r="C22" s="217" t="s">
        <v>473</v>
      </c>
      <c r="D22" s="204" t="s">
        <v>98</v>
      </c>
      <c r="E22" s="172">
        <v>1</v>
      </c>
      <c r="F22" s="213"/>
      <c r="G22" s="214"/>
    </row>
    <row r="23" spans="1:7" ht="30" customHeight="1" x14ac:dyDescent="0.2">
      <c r="A23" s="209">
        <v>14</v>
      </c>
      <c r="B23" s="217" t="s">
        <v>68</v>
      </c>
      <c r="C23" s="217" t="s">
        <v>474</v>
      </c>
      <c r="D23" s="204" t="s">
        <v>98</v>
      </c>
      <c r="E23" s="172">
        <v>0</v>
      </c>
      <c r="F23" s="213"/>
      <c r="G23" s="214"/>
    </row>
    <row r="24" spans="1:7" ht="5.25" customHeight="1" x14ac:dyDescent="0.2">
      <c r="A24" s="220"/>
      <c r="B24" s="221"/>
      <c r="C24" s="221"/>
      <c r="D24" s="222"/>
      <c r="E24" s="223"/>
      <c r="F24" s="224"/>
      <c r="G24" s="225"/>
    </row>
    <row r="25" spans="1:7" ht="30" customHeight="1" x14ac:dyDescent="0.2">
      <c r="A25" s="278" t="s">
        <v>475</v>
      </c>
      <c r="B25" s="279"/>
      <c r="C25" s="279"/>
      <c r="D25" s="279"/>
      <c r="E25" s="280"/>
      <c r="F25" s="199"/>
      <c r="G25" s="200"/>
    </row>
    <row r="26" spans="1:7" ht="30" customHeight="1" x14ac:dyDescent="0.2">
      <c r="A26" s="278" t="s">
        <v>476</v>
      </c>
      <c r="B26" s="279"/>
      <c r="C26" s="279"/>
      <c r="D26" s="279"/>
      <c r="E26" s="280"/>
      <c r="F26" s="199"/>
      <c r="G26" s="200"/>
    </row>
    <row r="27" spans="1:7" ht="30" customHeight="1" x14ac:dyDescent="0.2">
      <c r="A27" s="209">
        <v>15</v>
      </c>
      <c r="B27" s="202" t="s">
        <v>171</v>
      </c>
      <c r="C27" s="202" t="s">
        <v>231</v>
      </c>
      <c r="D27" s="204" t="s">
        <v>98</v>
      </c>
      <c r="E27" s="262">
        <f>+IF(E29&lt;&gt;"-",VALUE(E29),)+IF(E30&lt;&gt;"-",VALUE(E30),)+IF(E31&lt;&gt;"-",VALUE(E31),)+IF(E32&lt;&gt;"-",VALUE(E32),)+IF(E33&lt;&gt;"-",VALUE(E33),)+IF(E34&lt;&gt;"-",VALUE(E34),)+IF(E35&lt;&gt;"-",VALUE(E35),)</f>
        <v>8</v>
      </c>
      <c r="F27" s="210"/>
      <c r="G27" s="211"/>
    </row>
    <row r="28" spans="1:7" ht="30" customHeight="1" x14ac:dyDescent="0.2">
      <c r="A28" s="209">
        <v>16</v>
      </c>
      <c r="B28" s="202" t="s">
        <v>172</v>
      </c>
      <c r="C28" s="202" t="s">
        <v>427</v>
      </c>
      <c r="D28" s="204" t="s">
        <v>98</v>
      </c>
      <c r="E28" s="264">
        <f t="shared" ref="E28:E35" si="0">+IF(E39&lt;&gt;"-",VALUE(E39),)+IF(E49&lt;&gt;"-",VALUE(E49),)+IF(E59&lt;&gt;"-",VALUE(E59),)+IF(E69&lt;&gt;"-",VALUE(E69),)+IF(E79&lt;&gt;"-",VALUE(E79),)</f>
        <v>0</v>
      </c>
      <c r="F28" s="213"/>
      <c r="G28" s="214"/>
    </row>
    <row r="29" spans="1:7" ht="30" customHeight="1" x14ac:dyDescent="0.2">
      <c r="A29" s="227">
        <v>17</v>
      </c>
      <c r="B29" s="216" t="s">
        <v>340</v>
      </c>
      <c r="C29" s="217" t="s">
        <v>428</v>
      </c>
      <c r="D29" s="218" t="s">
        <v>98</v>
      </c>
      <c r="E29" s="264">
        <f t="shared" si="0"/>
        <v>0</v>
      </c>
      <c r="F29" s="210"/>
      <c r="G29" s="211"/>
    </row>
    <row r="30" spans="1:7" ht="30" customHeight="1" x14ac:dyDescent="0.2">
      <c r="A30" s="227">
        <v>18</v>
      </c>
      <c r="B30" s="216" t="s">
        <v>342</v>
      </c>
      <c r="C30" s="217" t="s">
        <v>429</v>
      </c>
      <c r="D30" s="218" t="s">
        <v>98</v>
      </c>
      <c r="E30" s="264">
        <f t="shared" si="0"/>
        <v>0</v>
      </c>
      <c r="F30" s="210"/>
      <c r="G30" s="211"/>
    </row>
    <row r="31" spans="1:7" ht="30" customHeight="1" x14ac:dyDescent="0.2">
      <c r="A31" s="209">
        <v>19</v>
      </c>
      <c r="B31" s="202" t="s">
        <v>173</v>
      </c>
      <c r="C31" s="202" t="s">
        <v>430</v>
      </c>
      <c r="D31" s="204" t="s">
        <v>98</v>
      </c>
      <c r="E31" s="264">
        <f t="shared" si="0"/>
        <v>0</v>
      </c>
      <c r="F31" s="213"/>
      <c r="G31" s="214"/>
    </row>
    <row r="32" spans="1:7" ht="30" customHeight="1" x14ac:dyDescent="0.2">
      <c r="A32" s="209">
        <v>20</v>
      </c>
      <c r="B32" s="202" t="s">
        <v>174</v>
      </c>
      <c r="C32" s="202" t="s">
        <v>431</v>
      </c>
      <c r="D32" s="204" t="s">
        <v>98</v>
      </c>
      <c r="E32" s="264">
        <f t="shared" si="0"/>
        <v>2</v>
      </c>
      <c r="F32" s="213"/>
      <c r="G32" s="214"/>
    </row>
    <row r="33" spans="1:7" ht="30" customHeight="1" x14ac:dyDescent="0.2">
      <c r="A33" s="209">
        <v>21</v>
      </c>
      <c r="B33" s="202" t="s">
        <v>175</v>
      </c>
      <c r="C33" s="202" t="s">
        <v>432</v>
      </c>
      <c r="D33" s="204" t="s">
        <v>98</v>
      </c>
      <c r="E33" s="264">
        <f t="shared" si="0"/>
        <v>6</v>
      </c>
      <c r="F33" s="213"/>
      <c r="G33" s="214"/>
    </row>
    <row r="34" spans="1:7" ht="27" customHeight="1" x14ac:dyDescent="0.2">
      <c r="A34" s="209">
        <v>22</v>
      </c>
      <c r="B34" s="202" t="s">
        <v>176</v>
      </c>
      <c r="C34" s="202" t="s">
        <v>433</v>
      </c>
      <c r="D34" s="204" t="s">
        <v>98</v>
      </c>
      <c r="E34" s="264">
        <f t="shared" si="0"/>
        <v>0</v>
      </c>
      <c r="F34" s="213"/>
      <c r="G34" s="214"/>
    </row>
    <row r="35" spans="1:7" ht="27" customHeight="1" x14ac:dyDescent="0.2">
      <c r="A35" s="209">
        <v>23</v>
      </c>
      <c r="B35" s="202" t="s">
        <v>177</v>
      </c>
      <c r="C35" s="202" t="s">
        <v>434</v>
      </c>
      <c r="D35" s="204" t="s">
        <v>98</v>
      </c>
      <c r="E35" s="264">
        <f t="shared" si="0"/>
        <v>0</v>
      </c>
      <c r="F35" s="213"/>
      <c r="G35" s="214"/>
    </row>
    <row r="36" spans="1:7" ht="6.75" customHeight="1" x14ac:dyDescent="0.2">
      <c r="A36" s="220"/>
      <c r="B36" s="221"/>
      <c r="C36" s="221"/>
      <c r="D36" s="222"/>
      <c r="E36" s="223"/>
      <c r="F36" s="224"/>
      <c r="G36" s="225"/>
    </row>
    <row r="37" spans="1:7" ht="27" customHeight="1" x14ac:dyDescent="0.2">
      <c r="A37" s="278" t="s">
        <v>424</v>
      </c>
      <c r="B37" s="279"/>
      <c r="C37" s="279"/>
      <c r="D37" s="279"/>
      <c r="E37" s="280"/>
      <c r="F37" s="199"/>
      <c r="G37" s="200"/>
    </row>
    <row r="38" spans="1:7" ht="27" customHeight="1" x14ac:dyDescent="0.2">
      <c r="A38" s="209">
        <v>24</v>
      </c>
      <c r="B38" s="202" t="s">
        <v>136</v>
      </c>
      <c r="C38" s="202" t="s">
        <v>231</v>
      </c>
      <c r="D38" s="204" t="s">
        <v>98</v>
      </c>
      <c r="E38" s="262">
        <f>+IF(E40&lt;&gt;"-",VALUE(E40),)+IF(E41&lt;&gt;"-",VALUE(E41),)+IF(E42&lt;&gt;"-",VALUE(E42),)+IF(E43&lt;&gt;"-",VALUE(E43),)+IF(E44&lt;&gt;"-",VALUE(E44),)+IF(E45&lt;&gt;"-",VALUE(E45),)+IF(E46&lt;&gt;"-",VALUE(E46),)</f>
        <v>0</v>
      </c>
      <c r="F38" s="210"/>
      <c r="G38" s="211"/>
    </row>
    <row r="39" spans="1:7" ht="27" hidden="1" customHeight="1" x14ac:dyDescent="0.2">
      <c r="A39" s="209">
        <v>25</v>
      </c>
      <c r="B39" s="202" t="s">
        <v>137</v>
      </c>
      <c r="C39" s="202" t="s">
        <v>427</v>
      </c>
      <c r="D39" s="204" t="s">
        <v>98</v>
      </c>
      <c r="E39" s="226">
        <f>+IF(E40&lt;&gt;"-",VALUE(E40),)+IF(E41&lt;&gt;"-",VALUE(E41),)</f>
        <v>0</v>
      </c>
      <c r="F39" s="213"/>
      <c r="G39" s="214"/>
    </row>
    <row r="40" spans="1:7" ht="27" customHeight="1" x14ac:dyDescent="0.2">
      <c r="A40" s="215">
        <v>26</v>
      </c>
      <c r="B40" s="216" t="s">
        <v>352</v>
      </c>
      <c r="C40" s="217" t="s">
        <v>428</v>
      </c>
      <c r="D40" s="218" t="s">
        <v>98</v>
      </c>
      <c r="E40" s="172">
        <v>0</v>
      </c>
      <c r="F40" s="210"/>
      <c r="G40" s="211"/>
    </row>
    <row r="41" spans="1:7" ht="27" customHeight="1" x14ac:dyDescent="0.2">
      <c r="A41" s="215">
        <v>27</v>
      </c>
      <c r="B41" s="216" t="s">
        <v>353</v>
      </c>
      <c r="C41" s="217" t="s">
        <v>429</v>
      </c>
      <c r="D41" s="218" t="s">
        <v>98</v>
      </c>
      <c r="E41" s="172">
        <v>0</v>
      </c>
      <c r="F41" s="210"/>
      <c r="G41" s="211"/>
    </row>
    <row r="42" spans="1:7" ht="27" customHeight="1" x14ac:dyDescent="0.2">
      <c r="A42" s="209">
        <v>28</v>
      </c>
      <c r="B42" s="202" t="s">
        <v>138</v>
      </c>
      <c r="C42" s="202" t="s">
        <v>430</v>
      </c>
      <c r="D42" s="204" t="s">
        <v>98</v>
      </c>
      <c r="E42" s="172">
        <v>0</v>
      </c>
      <c r="F42" s="228"/>
      <c r="G42" s="229"/>
    </row>
    <row r="43" spans="1:7" ht="27" customHeight="1" x14ac:dyDescent="0.2">
      <c r="A43" s="209">
        <v>29</v>
      </c>
      <c r="B43" s="202" t="s">
        <v>139</v>
      </c>
      <c r="C43" s="202" t="s">
        <v>431</v>
      </c>
      <c r="D43" s="204" t="s">
        <v>98</v>
      </c>
      <c r="E43" s="172">
        <v>0</v>
      </c>
      <c r="F43" s="228"/>
      <c r="G43" s="229"/>
    </row>
    <row r="44" spans="1:7" ht="27" customHeight="1" x14ac:dyDescent="0.2">
      <c r="A44" s="209">
        <v>30</v>
      </c>
      <c r="B44" s="202" t="s">
        <v>140</v>
      </c>
      <c r="C44" s="202" t="s">
        <v>432</v>
      </c>
      <c r="D44" s="204" t="s">
        <v>98</v>
      </c>
      <c r="E44" s="172">
        <v>0</v>
      </c>
      <c r="F44" s="228"/>
      <c r="G44" s="229"/>
    </row>
    <row r="45" spans="1:7" ht="27" customHeight="1" x14ac:dyDescent="0.2">
      <c r="A45" s="209">
        <v>31</v>
      </c>
      <c r="B45" s="202" t="s">
        <v>141</v>
      </c>
      <c r="C45" s="202" t="s">
        <v>433</v>
      </c>
      <c r="D45" s="204" t="s">
        <v>98</v>
      </c>
      <c r="E45" s="179">
        <v>0</v>
      </c>
      <c r="F45" s="228"/>
      <c r="G45" s="229"/>
    </row>
    <row r="46" spans="1:7" ht="27" customHeight="1" x14ac:dyDescent="0.2">
      <c r="A46" s="209">
        <v>32</v>
      </c>
      <c r="B46" s="202" t="s">
        <v>142</v>
      </c>
      <c r="C46" s="202" t="s">
        <v>434</v>
      </c>
      <c r="D46" s="204" t="s">
        <v>98</v>
      </c>
      <c r="E46" s="172">
        <v>0</v>
      </c>
      <c r="F46" s="228"/>
      <c r="G46" s="229"/>
    </row>
    <row r="47" spans="1:7" ht="27" customHeight="1" x14ac:dyDescent="0.2">
      <c r="A47" s="278" t="s">
        <v>477</v>
      </c>
      <c r="B47" s="279"/>
      <c r="C47" s="279"/>
      <c r="D47" s="279"/>
      <c r="E47" s="280"/>
      <c r="F47" s="199"/>
      <c r="G47" s="200"/>
    </row>
    <row r="48" spans="1:7" ht="27" customHeight="1" x14ac:dyDescent="0.2">
      <c r="A48" s="209">
        <v>33</v>
      </c>
      <c r="B48" s="202" t="s">
        <v>143</v>
      </c>
      <c r="C48" s="202" t="s">
        <v>231</v>
      </c>
      <c r="D48" s="204" t="s">
        <v>98</v>
      </c>
      <c r="E48" s="262">
        <f>+IF(E50&lt;&gt;"-",VALUE(E50),)+IF(E51&lt;&gt;"-",VALUE(E51),)+IF(E52&lt;&gt;"-",VALUE(E52),)+IF(E53&lt;&gt;"-",VALUE(E53),)+IF(E54&lt;&gt;"-",VALUE(E54),)+IF(E55&lt;&gt;"-",VALUE(E55),)+IF(E56&lt;&gt;"-",VALUE(E56),)</f>
        <v>0</v>
      </c>
      <c r="F48" s="210"/>
      <c r="G48" s="211"/>
    </row>
    <row r="49" spans="1:7" ht="27" hidden="1" customHeight="1" x14ac:dyDescent="0.2">
      <c r="A49" s="209">
        <v>34</v>
      </c>
      <c r="B49" s="202" t="s">
        <v>144</v>
      </c>
      <c r="C49" s="202" t="s">
        <v>427</v>
      </c>
      <c r="D49" s="204" t="s">
        <v>98</v>
      </c>
      <c r="E49" s="226">
        <f>+IF(E50&lt;&gt;"-",VALUE(E50),)+IF(E51&lt;&gt;"-",VALUE(E51),)</f>
        <v>0</v>
      </c>
      <c r="F49" s="228"/>
      <c r="G49" s="229"/>
    </row>
    <row r="50" spans="1:7" ht="27" customHeight="1" x14ac:dyDescent="0.2">
      <c r="A50" s="209">
        <v>35</v>
      </c>
      <c r="B50" s="216" t="s">
        <v>414</v>
      </c>
      <c r="C50" s="217" t="s">
        <v>428</v>
      </c>
      <c r="D50" s="218" t="s">
        <v>98</v>
      </c>
      <c r="E50" s="172">
        <v>0</v>
      </c>
      <c r="F50" s="210"/>
      <c r="G50" s="211"/>
    </row>
    <row r="51" spans="1:7" ht="27" customHeight="1" x14ac:dyDescent="0.2">
      <c r="A51" s="209">
        <v>36</v>
      </c>
      <c r="B51" s="216" t="s">
        <v>415</v>
      </c>
      <c r="C51" s="217" t="s">
        <v>429</v>
      </c>
      <c r="D51" s="218" t="s">
        <v>98</v>
      </c>
      <c r="E51" s="172">
        <v>0</v>
      </c>
      <c r="F51" s="210"/>
      <c r="G51" s="211"/>
    </row>
    <row r="52" spans="1:7" ht="27" customHeight="1" x14ac:dyDescent="0.2">
      <c r="A52" s="209">
        <v>37</v>
      </c>
      <c r="B52" s="202" t="s">
        <v>145</v>
      </c>
      <c r="C52" s="202" t="s">
        <v>430</v>
      </c>
      <c r="D52" s="204" t="s">
        <v>98</v>
      </c>
      <c r="E52" s="172">
        <v>0</v>
      </c>
      <c r="F52" s="228"/>
      <c r="G52" s="229"/>
    </row>
    <row r="53" spans="1:7" ht="27" customHeight="1" x14ac:dyDescent="0.2">
      <c r="A53" s="209">
        <v>38</v>
      </c>
      <c r="B53" s="202" t="s">
        <v>146</v>
      </c>
      <c r="C53" s="202" t="s">
        <v>431</v>
      </c>
      <c r="D53" s="204" t="s">
        <v>98</v>
      </c>
      <c r="E53" s="172">
        <v>0</v>
      </c>
      <c r="F53" s="228"/>
      <c r="G53" s="229"/>
    </row>
    <row r="54" spans="1:7" ht="27" customHeight="1" x14ac:dyDescent="0.2">
      <c r="A54" s="209">
        <v>39</v>
      </c>
      <c r="B54" s="202" t="s">
        <v>147</v>
      </c>
      <c r="C54" s="202" t="s">
        <v>432</v>
      </c>
      <c r="D54" s="204" t="s">
        <v>98</v>
      </c>
      <c r="E54" s="172">
        <v>0</v>
      </c>
      <c r="F54" s="228"/>
      <c r="G54" s="229"/>
    </row>
    <row r="55" spans="1:7" ht="27" customHeight="1" x14ac:dyDescent="0.2">
      <c r="A55" s="209">
        <v>40</v>
      </c>
      <c r="B55" s="202" t="s">
        <v>148</v>
      </c>
      <c r="C55" s="202" t="s">
        <v>433</v>
      </c>
      <c r="D55" s="204" t="s">
        <v>98</v>
      </c>
      <c r="E55" s="172">
        <v>0</v>
      </c>
      <c r="F55" s="228"/>
      <c r="G55" s="229"/>
    </row>
    <row r="56" spans="1:7" ht="27" customHeight="1" x14ac:dyDescent="0.2">
      <c r="A56" s="209">
        <v>41</v>
      </c>
      <c r="B56" s="202" t="s">
        <v>149</v>
      </c>
      <c r="C56" s="202" t="s">
        <v>434</v>
      </c>
      <c r="D56" s="204" t="s">
        <v>98</v>
      </c>
      <c r="E56" s="172">
        <v>0</v>
      </c>
      <c r="F56" s="228"/>
      <c r="G56" s="229"/>
    </row>
    <row r="57" spans="1:7" ht="27" customHeight="1" x14ac:dyDescent="0.2">
      <c r="A57" s="278" t="s">
        <v>478</v>
      </c>
      <c r="B57" s="279"/>
      <c r="C57" s="279"/>
      <c r="D57" s="279"/>
      <c r="E57" s="280"/>
      <c r="F57" s="199"/>
      <c r="G57" s="200"/>
    </row>
    <row r="58" spans="1:7" ht="27" customHeight="1" x14ac:dyDescent="0.2">
      <c r="A58" s="209">
        <v>42</v>
      </c>
      <c r="B58" s="202" t="s">
        <v>150</v>
      </c>
      <c r="C58" s="202" t="s">
        <v>231</v>
      </c>
      <c r="D58" s="204" t="s">
        <v>98</v>
      </c>
      <c r="E58" s="262">
        <f>+IF(E60&lt;&gt;"-",VALUE(E60),)+IF(E61&lt;&gt;"-",VALUE(E61),)+IF(E62&lt;&gt;"-",VALUE(E62),)+IF(E63&lt;&gt;"-",VALUE(E63),)+IF(E64&lt;&gt;"-",VALUE(E64),)+IF(E65&lt;&gt;"-",VALUE(E65),)+IF(E66&lt;&gt;"-",VALUE(E66),)</f>
        <v>2</v>
      </c>
      <c r="F58" s="210"/>
      <c r="G58" s="211"/>
    </row>
    <row r="59" spans="1:7" ht="27" hidden="1" customHeight="1" x14ac:dyDescent="0.2">
      <c r="A59" s="209">
        <v>43</v>
      </c>
      <c r="B59" s="202" t="s">
        <v>151</v>
      </c>
      <c r="C59" s="202" t="s">
        <v>427</v>
      </c>
      <c r="D59" s="204" t="s">
        <v>98</v>
      </c>
      <c r="E59" s="226">
        <f>+IF(E60&lt;&gt;"-",VALUE(E60),)+IF(E61&lt;&gt;"-",VALUE(E61),)</f>
        <v>0</v>
      </c>
      <c r="F59" s="213"/>
      <c r="G59" s="214"/>
    </row>
    <row r="60" spans="1:7" ht="27" customHeight="1" x14ac:dyDescent="0.2">
      <c r="A60" s="215">
        <v>44</v>
      </c>
      <c r="B60" s="216" t="s">
        <v>354</v>
      </c>
      <c r="C60" s="217" t="s">
        <v>428</v>
      </c>
      <c r="D60" s="218" t="s">
        <v>98</v>
      </c>
      <c r="E60" s="172">
        <v>0</v>
      </c>
      <c r="F60" s="210"/>
      <c r="G60" s="211"/>
    </row>
    <row r="61" spans="1:7" ht="27" customHeight="1" x14ac:dyDescent="0.2">
      <c r="A61" s="215">
        <v>45</v>
      </c>
      <c r="B61" s="216" t="s">
        <v>355</v>
      </c>
      <c r="C61" s="217" t="s">
        <v>429</v>
      </c>
      <c r="D61" s="218" t="s">
        <v>98</v>
      </c>
      <c r="E61" s="172">
        <v>0</v>
      </c>
      <c r="F61" s="210"/>
      <c r="G61" s="211"/>
    </row>
    <row r="62" spans="1:7" ht="27" customHeight="1" x14ac:dyDescent="0.2">
      <c r="A62" s="209">
        <v>46</v>
      </c>
      <c r="B62" s="202" t="s">
        <v>152</v>
      </c>
      <c r="C62" s="202" t="s">
        <v>430</v>
      </c>
      <c r="D62" s="204" t="s">
        <v>98</v>
      </c>
      <c r="E62" s="172">
        <v>0</v>
      </c>
      <c r="F62" s="228"/>
      <c r="G62" s="229"/>
    </row>
    <row r="63" spans="1:7" ht="27" customHeight="1" x14ac:dyDescent="0.2">
      <c r="A63" s="209">
        <v>47</v>
      </c>
      <c r="B63" s="202" t="s">
        <v>153</v>
      </c>
      <c r="C63" s="202" t="s">
        <v>431</v>
      </c>
      <c r="D63" s="204" t="s">
        <v>98</v>
      </c>
      <c r="E63" s="172">
        <v>2</v>
      </c>
      <c r="F63" s="228"/>
      <c r="G63" s="229"/>
    </row>
    <row r="64" spans="1:7" ht="27" customHeight="1" x14ac:dyDescent="0.2">
      <c r="A64" s="209">
        <v>48</v>
      </c>
      <c r="B64" s="202" t="s">
        <v>154</v>
      </c>
      <c r="C64" s="202" t="s">
        <v>432</v>
      </c>
      <c r="D64" s="204" t="s">
        <v>98</v>
      </c>
      <c r="E64" s="172">
        <v>0</v>
      </c>
      <c r="F64" s="228"/>
      <c r="G64" s="229"/>
    </row>
    <row r="65" spans="1:7" ht="27" customHeight="1" x14ac:dyDescent="0.2">
      <c r="A65" s="209">
        <v>49</v>
      </c>
      <c r="B65" s="202" t="s">
        <v>155</v>
      </c>
      <c r="C65" s="202" t="s">
        <v>433</v>
      </c>
      <c r="D65" s="204" t="s">
        <v>98</v>
      </c>
      <c r="E65" s="172">
        <v>0</v>
      </c>
      <c r="F65" s="228"/>
      <c r="G65" s="229"/>
    </row>
    <row r="66" spans="1:7" ht="27" customHeight="1" x14ac:dyDescent="0.2">
      <c r="A66" s="209">
        <v>50</v>
      </c>
      <c r="B66" s="202" t="s">
        <v>156</v>
      </c>
      <c r="C66" s="202" t="s">
        <v>434</v>
      </c>
      <c r="D66" s="204" t="s">
        <v>98</v>
      </c>
      <c r="E66" s="172">
        <v>0</v>
      </c>
      <c r="F66" s="228"/>
      <c r="G66" s="229"/>
    </row>
    <row r="67" spans="1:7" ht="27" customHeight="1" x14ac:dyDescent="0.2">
      <c r="A67" s="278" t="s">
        <v>479</v>
      </c>
      <c r="B67" s="279"/>
      <c r="C67" s="279"/>
      <c r="D67" s="279"/>
      <c r="E67" s="280"/>
      <c r="F67" s="199"/>
      <c r="G67" s="200"/>
    </row>
    <row r="68" spans="1:7" ht="27" customHeight="1" x14ac:dyDescent="0.2">
      <c r="A68" s="209">
        <v>51</v>
      </c>
      <c r="B68" s="202" t="s">
        <v>157</v>
      </c>
      <c r="C68" s="202" t="s">
        <v>231</v>
      </c>
      <c r="D68" s="204" t="s">
        <v>98</v>
      </c>
      <c r="E68" s="262">
        <f>+IF(E70&lt;&gt;"-",VALUE(E70),)+IF(E71&lt;&gt;"-",VALUE(E71),)+IF(E72&lt;&gt;"-",VALUE(E72),)+IF(E73&lt;&gt;"-",VALUE(E73),)+IF(E74&lt;&gt;"-",VALUE(E74),)+IF(E75&lt;&gt;"-",VALUE(E75),)+IF(E76&lt;&gt;"-",VALUE(E76),)</f>
        <v>6</v>
      </c>
      <c r="F68" s="210"/>
      <c r="G68" s="211"/>
    </row>
    <row r="69" spans="1:7" ht="27" hidden="1" customHeight="1" x14ac:dyDescent="0.2">
      <c r="A69" s="209">
        <v>52</v>
      </c>
      <c r="B69" s="202" t="s">
        <v>158</v>
      </c>
      <c r="C69" s="202" t="s">
        <v>427</v>
      </c>
      <c r="D69" s="204" t="s">
        <v>98</v>
      </c>
      <c r="E69" s="226">
        <f>+IF(E70&lt;&gt;"-",VALUE(E70),)+IF(E71&lt;&gt;"-",VALUE(E71),)</f>
        <v>0</v>
      </c>
      <c r="F69" s="213"/>
      <c r="G69" s="214"/>
    </row>
    <row r="70" spans="1:7" ht="27" customHeight="1" x14ac:dyDescent="0.2">
      <c r="A70" s="215">
        <v>53</v>
      </c>
      <c r="B70" s="216" t="s">
        <v>356</v>
      </c>
      <c r="C70" s="217" t="s">
        <v>428</v>
      </c>
      <c r="D70" s="218" t="s">
        <v>98</v>
      </c>
      <c r="E70" s="172">
        <v>0</v>
      </c>
      <c r="F70" s="210"/>
      <c r="G70" s="211"/>
    </row>
    <row r="71" spans="1:7" ht="27" customHeight="1" x14ac:dyDescent="0.2">
      <c r="A71" s="215">
        <v>54</v>
      </c>
      <c r="B71" s="216" t="s">
        <v>357</v>
      </c>
      <c r="C71" s="217" t="s">
        <v>429</v>
      </c>
      <c r="D71" s="218" t="s">
        <v>98</v>
      </c>
      <c r="E71" s="172">
        <v>0</v>
      </c>
      <c r="F71" s="210"/>
      <c r="G71" s="211"/>
    </row>
    <row r="72" spans="1:7" ht="27" customHeight="1" x14ac:dyDescent="0.2">
      <c r="A72" s="209">
        <v>55</v>
      </c>
      <c r="B72" s="202" t="s">
        <v>159</v>
      </c>
      <c r="C72" s="202" t="s">
        <v>430</v>
      </c>
      <c r="D72" s="204" t="s">
        <v>98</v>
      </c>
      <c r="E72" s="172">
        <v>0</v>
      </c>
      <c r="F72" s="213"/>
      <c r="G72" s="214"/>
    </row>
    <row r="73" spans="1:7" ht="27" customHeight="1" x14ac:dyDescent="0.2">
      <c r="A73" s="209">
        <v>56</v>
      </c>
      <c r="B73" s="202" t="s">
        <v>160</v>
      </c>
      <c r="C73" s="202" t="s">
        <v>431</v>
      </c>
      <c r="D73" s="204" t="s">
        <v>98</v>
      </c>
      <c r="E73" s="172">
        <v>0</v>
      </c>
      <c r="F73" s="213"/>
      <c r="G73" s="214"/>
    </row>
    <row r="74" spans="1:7" ht="27" customHeight="1" x14ac:dyDescent="0.2">
      <c r="A74" s="209">
        <v>57</v>
      </c>
      <c r="B74" s="202" t="s">
        <v>161</v>
      </c>
      <c r="C74" s="202" t="s">
        <v>432</v>
      </c>
      <c r="D74" s="204" t="s">
        <v>98</v>
      </c>
      <c r="E74" s="172">
        <v>6</v>
      </c>
      <c r="F74" s="213"/>
      <c r="G74" s="214"/>
    </row>
    <row r="75" spans="1:7" ht="27" customHeight="1" x14ac:dyDescent="0.2">
      <c r="A75" s="209">
        <v>58</v>
      </c>
      <c r="B75" s="202" t="s">
        <v>162</v>
      </c>
      <c r="C75" s="202" t="s">
        <v>433</v>
      </c>
      <c r="D75" s="204" t="s">
        <v>98</v>
      </c>
      <c r="E75" s="172">
        <v>0</v>
      </c>
      <c r="F75" s="213"/>
      <c r="G75" s="214"/>
    </row>
    <row r="76" spans="1:7" ht="76.5" customHeight="1" x14ac:dyDescent="0.2">
      <c r="A76" s="209">
        <v>59</v>
      </c>
      <c r="B76" s="202" t="s">
        <v>163</v>
      </c>
      <c r="C76" s="202" t="s">
        <v>434</v>
      </c>
      <c r="D76" s="204" t="s">
        <v>98</v>
      </c>
      <c r="E76" s="172">
        <v>0</v>
      </c>
      <c r="F76" s="213"/>
      <c r="G76" s="214"/>
    </row>
    <row r="77" spans="1:7" ht="76.5" hidden="1" customHeight="1" x14ac:dyDescent="0.2">
      <c r="A77" s="278" t="s">
        <v>480</v>
      </c>
      <c r="B77" s="279"/>
      <c r="C77" s="279"/>
      <c r="D77" s="279"/>
      <c r="E77" s="280"/>
      <c r="F77" s="199"/>
      <c r="G77" s="200"/>
    </row>
    <row r="78" spans="1:7" ht="76.5" hidden="1" customHeight="1" x14ac:dyDescent="0.2">
      <c r="A78" s="209">
        <v>60</v>
      </c>
      <c r="B78" s="202" t="s">
        <v>164</v>
      </c>
      <c r="C78" s="202" t="s">
        <v>231</v>
      </c>
      <c r="D78" s="204" t="s">
        <v>98</v>
      </c>
      <c r="E78" s="262">
        <f>+IF(E80&lt;&gt;"-",VALUE(E80),)+IF(E81&lt;&gt;"-",VALUE(E81),)+IF(E82&lt;&gt;"-",VALUE(E82),)+IF(E83&lt;&gt;"-",VALUE(E83),)+IF(E84&lt;&gt;"-",VALUE(E84),)+IF(E85&lt;&gt;"-",VALUE(E85),)+IF(E86&lt;&gt;"-",VALUE(E86),)</f>
        <v>0</v>
      </c>
      <c r="F78" s="210"/>
      <c r="G78" s="211"/>
    </row>
    <row r="79" spans="1:7" ht="76.5" hidden="1" customHeight="1" x14ac:dyDescent="0.2">
      <c r="A79" s="209">
        <v>61</v>
      </c>
      <c r="B79" s="202" t="s">
        <v>165</v>
      </c>
      <c r="C79" s="202" t="s">
        <v>427</v>
      </c>
      <c r="D79" s="204" t="s">
        <v>98</v>
      </c>
      <c r="E79" s="264">
        <f>+IF(E80&lt;&gt;"-",VALUE(E80),)+IF(E81&lt;&gt;"-",VALUE(E81),)</f>
        <v>0</v>
      </c>
      <c r="F79" s="213"/>
      <c r="G79" s="214"/>
    </row>
    <row r="80" spans="1:7" ht="76.5" hidden="1" customHeight="1" x14ac:dyDescent="0.2">
      <c r="A80" s="215">
        <v>62</v>
      </c>
      <c r="B80" s="216" t="s">
        <v>416</v>
      </c>
      <c r="C80" s="217" t="s">
        <v>428</v>
      </c>
      <c r="D80" s="218" t="s">
        <v>98</v>
      </c>
      <c r="E80" s="264">
        <f t="shared" ref="E80:E86" si="1">+IF(E89&lt;&gt;"-",VALUE(E89),)+IF(E98&lt;&gt;"-",VALUE(E98),)</f>
        <v>0</v>
      </c>
      <c r="F80" s="210"/>
      <c r="G80" s="211"/>
    </row>
    <row r="81" spans="1:7" ht="76.5" hidden="1" customHeight="1" x14ac:dyDescent="0.2">
      <c r="A81" s="215">
        <v>63</v>
      </c>
      <c r="B81" s="216" t="s">
        <v>417</v>
      </c>
      <c r="C81" s="217" t="s">
        <v>429</v>
      </c>
      <c r="D81" s="218" t="s">
        <v>98</v>
      </c>
      <c r="E81" s="264">
        <f t="shared" si="1"/>
        <v>0</v>
      </c>
      <c r="F81" s="210"/>
      <c r="G81" s="211"/>
    </row>
    <row r="82" spans="1:7" ht="76.5" hidden="1" customHeight="1" x14ac:dyDescent="0.2">
      <c r="A82" s="209">
        <v>64</v>
      </c>
      <c r="B82" s="202" t="s">
        <v>166</v>
      </c>
      <c r="C82" s="202" t="s">
        <v>430</v>
      </c>
      <c r="D82" s="204" t="s">
        <v>98</v>
      </c>
      <c r="E82" s="264">
        <f t="shared" si="1"/>
        <v>0</v>
      </c>
      <c r="F82" s="213"/>
      <c r="G82" s="214"/>
    </row>
    <row r="83" spans="1:7" ht="76.5" hidden="1" customHeight="1" x14ac:dyDescent="0.2">
      <c r="A83" s="209">
        <v>65</v>
      </c>
      <c r="B83" s="202" t="s">
        <v>167</v>
      </c>
      <c r="C83" s="202" t="s">
        <v>431</v>
      </c>
      <c r="D83" s="204" t="s">
        <v>98</v>
      </c>
      <c r="E83" s="264">
        <f t="shared" si="1"/>
        <v>0</v>
      </c>
      <c r="F83" s="213"/>
      <c r="G83" s="214"/>
    </row>
    <row r="84" spans="1:7" ht="76.5" hidden="1" customHeight="1" x14ac:dyDescent="0.2">
      <c r="A84" s="209">
        <v>66</v>
      </c>
      <c r="B84" s="202" t="s">
        <v>168</v>
      </c>
      <c r="C84" s="202" t="s">
        <v>432</v>
      </c>
      <c r="D84" s="204" t="s">
        <v>98</v>
      </c>
      <c r="E84" s="264">
        <f t="shared" si="1"/>
        <v>0</v>
      </c>
      <c r="F84" s="213"/>
      <c r="G84" s="214"/>
    </row>
    <row r="85" spans="1:7" ht="76.5" hidden="1" customHeight="1" x14ac:dyDescent="0.2">
      <c r="A85" s="209">
        <v>67</v>
      </c>
      <c r="B85" s="202" t="s">
        <v>169</v>
      </c>
      <c r="C85" s="202" t="s">
        <v>433</v>
      </c>
      <c r="D85" s="204" t="s">
        <v>98</v>
      </c>
      <c r="E85" s="264">
        <f t="shared" si="1"/>
        <v>0</v>
      </c>
      <c r="F85" s="213"/>
      <c r="G85" s="214"/>
    </row>
    <row r="86" spans="1:7" ht="76.5" hidden="1" customHeight="1" x14ac:dyDescent="0.2">
      <c r="A86" s="209">
        <v>68</v>
      </c>
      <c r="B86" s="202" t="s">
        <v>170</v>
      </c>
      <c r="C86" s="202" t="s">
        <v>434</v>
      </c>
      <c r="D86" s="204" t="s">
        <v>98</v>
      </c>
      <c r="E86" s="264">
        <f t="shared" si="1"/>
        <v>0</v>
      </c>
      <c r="F86" s="213"/>
      <c r="G86" s="214"/>
    </row>
    <row r="87" spans="1:7" ht="51.75" customHeight="1" x14ac:dyDescent="0.2">
      <c r="A87" s="285" t="s">
        <v>481</v>
      </c>
      <c r="B87" s="279"/>
      <c r="C87" s="279"/>
      <c r="D87" s="279"/>
      <c r="E87" s="280"/>
      <c r="F87" s="199"/>
      <c r="G87" s="200"/>
    </row>
    <row r="88" spans="1:7" ht="27" customHeight="1" x14ac:dyDescent="0.2">
      <c r="A88" s="230">
        <v>69</v>
      </c>
      <c r="B88" s="217" t="s">
        <v>366</v>
      </c>
      <c r="C88" s="217" t="s">
        <v>231</v>
      </c>
      <c r="D88" s="231" t="s">
        <v>98</v>
      </c>
      <c r="E88" s="264">
        <f>+IF(E89&lt;&gt;"-",VALUE(E89),)+IF(E90&lt;&gt;"-",VALUE(E90),)+IF(E91&lt;&gt;"-",VALUE(E91),)+IF(E92&lt;&gt;"-",VALUE(E92),)+IF(E93&lt;&gt;"-",VALUE(E93),)+IF(E94&lt;&gt;"-",VALUE(E94),)+IF(E95&lt;&gt;"-",VALUE(E95),)</f>
        <v>0</v>
      </c>
      <c r="F88" s="210"/>
      <c r="G88" s="211"/>
    </row>
    <row r="89" spans="1:7" ht="27" customHeight="1" x14ac:dyDescent="0.2">
      <c r="A89" s="230">
        <v>70</v>
      </c>
      <c r="B89" s="216" t="s">
        <v>367</v>
      </c>
      <c r="C89" s="217" t="s">
        <v>428</v>
      </c>
      <c r="D89" s="231" t="s">
        <v>98</v>
      </c>
      <c r="E89" s="172">
        <v>0</v>
      </c>
      <c r="F89" s="210"/>
      <c r="G89" s="211"/>
    </row>
    <row r="90" spans="1:7" ht="27" customHeight="1" x14ac:dyDescent="0.2">
      <c r="A90" s="230">
        <v>71</v>
      </c>
      <c r="B90" s="216" t="s">
        <v>368</v>
      </c>
      <c r="C90" s="217" t="s">
        <v>429</v>
      </c>
      <c r="D90" s="231" t="s">
        <v>98</v>
      </c>
      <c r="E90" s="172">
        <v>0</v>
      </c>
      <c r="F90" s="210"/>
      <c r="G90" s="211"/>
    </row>
    <row r="91" spans="1:7" ht="27" customHeight="1" x14ac:dyDescent="0.2">
      <c r="A91" s="230">
        <v>72</v>
      </c>
      <c r="B91" s="217" t="s">
        <v>369</v>
      </c>
      <c r="C91" s="217" t="s">
        <v>430</v>
      </c>
      <c r="D91" s="231" t="s">
        <v>98</v>
      </c>
      <c r="E91" s="172">
        <v>0</v>
      </c>
      <c r="F91" s="210"/>
      <c r="G91" s="211"/>
    </row>
    <row r="92" spans="1:7" ht="27" customHeight="1" x14ac:dyDescent="0.2">
      <c r="A92" s="230">
        <v>73</v>
      </c>
      <c r="B92" s="217" t="s">
        <v>370</v>
      </c>
      <c r="C92" s="217" t="s">
        <v>431</v>
      </c>
      <c r="D92" s="231" t="s">
        <v>98</v>
      </c>
      <c r="E92" s="172">
        <v>0</v>
      </c>
      <c r="F92" s="210"/>
      <c r="G92" s="211"/>
    </row>
    <row r="93" spans="1:7" ht="27" customHeight="1" x14ac:dyDescent="0.2">
      <c r="A93" s="230">
        <v>74</v>
      </c>
      <c r="B93" s="217" t="s">
        <v>371</v>
      </c>
      <c r="C93" s="217" t="s">
        <v>432</v>
      </c>
      <c r="D93" s="231" t="s">
        <v>98</v>
      </c>
      <c r="E93" s="172">
        <v>0</v>
      </c>
      <c r="F93" s="210"/>
      <c r="G93" s="211"/>
    </row>
    <row r="94" spans="1:7" ht="27" customHeight="1" x14ac:dyDescent="0.2">
      <c r="A94" s="230">
        <v>75</v>
      </c>
      <c r="B94" s="217" t="s">
        <v>372</v>
      </c>
      <c r="C94" s="217" t="s">
        <v>433</v>
      </c>
      <c r="D94" s="231" t="s">
        <v>98</v>
      </c>
      <c r="E94" s="172">
        <v>0</v>
      </c>
      <c r="F94" s="210"/>
      <c r="G94" s="211"/>
    </row>
    <row r="95" spans="1:7" ht="27" customHeight="1" x14ac:dyDescent="0.2">
      <c r="A95" s="230">
        <v>76</v>
      </c>
      <c r="B95" s="217" t="s">
        <v>373</v>
      </c>
      <c r="C95" s="217" t="s">
        <v>434</v>
      </c>
      <c r="D95" s="231" t="s">
        <v>98</v>
      </c>
      <c r="E95" s="172">
        <v>0</v>
      </c>
      <c r="F95" s="210"/>
      <c r="G95" s="211"/>
    </row>
    <row r="96" spans="1:7" ht="27" customHeight="1" x14ac:dyDescent="0.2">
      <c r="A96" s="278" t="s">
        <v>482</v>
      </c>
      <c r="B96" s="279"/>
      <c r="C96" s="279"/>
      <c r="D96" s="279"/>
      <c r="E96" s="280"/>
      <c r="F96" s="199"/>
      <c r="G96" s="200"/>
    </row>
    <row r="97" spans="1:7" ht="27" customHeight="1" x14ac:dyDescent="0.2">
      <c r="A97" s="230">
        <v>77</v>
      </c>
      <c r="B97" s="217" t="s">
        <v>388</v>
      </c>
      <c r="C97" s="217" t="s">
        <v>231</v>
      </c>
      <c r="D97" s="231" t="s">
        <v>98</v>
      </c>
      <c r="E97" s="264">
        <f>+IF(E98&lt;&gt;"-",VALUE(E98),)+IF(E99&lt;&gt;"-",VALUE(E99),)+IF(E100&lt;&gt;"-",VALUE(E100),)+IF(E101&lt;&gt;"-",VALUE(E101),)+IF(E102&lt;&gt;"-",VALUE(E102),)+IF(E103&lt;&gt;"-",VALUE(E103),)+IF(E104&lt;&gt;"-",VALUE(E104),)</f>
        <v>0</v>
      </c>
      <c r="F97" s="210"/>
      <c r="G97" s="211"/>
    </row>
    <row r="98" spans="1:7" ht="27" customHeight="1" x14ac:dyDescent="0.2">
      <c r="A98" s="230">
        <v>78</v>
      </c>
      <c r="B98" s="217" t="s">
        <v>408</v>
      </c>
      <c r="C98" s="217" t="s">
        <v>428</v>
      </c>
      <c r="D98" s="231" t="s">
        <v>98</v>
      </c>
      <c r="E98" s="172">
        <v>0</v>
      </c>
      <c r="F98" s="210"/>
      <c r="G98" s="211"/>
    </row>
    <row r="99" spans="1:7" ht="27" customHeight="1" x14ac:dyDescent="0.2">
      <c r="A99" s="230">
        <v>79</v>
      </c>
      <c r="B99" s="217" t="s">
        <v>409</v>
      </c>
      <c r="C99" s="217" t="s">
        <v>429</v>
      </c>
      <c r="D99" s="231" t="s">
        <v>98</v>
      </c>
      <c r="E99" s="172">
        <v>0</v>
      </c>
      <c r="F99" s="210"/>
      <c r="G99" s="211"/>
    </row>
    <row r="100" spans="1:7" ht="27" customHeight="1" x14ac:dyDescent="0.2">
      <c r="A100" s="230">
        <v>80</v>
      </c>
      <c r="B100" s="217" t="s">
        <v>389</v>
      </c>
      <c r="C100" s="217" t="s">
        <v>430</v>
      </c>
      <c r="D100" s="231" t="s">
        <v>98</v>
      </c>
      <c r="E100" s="172">
        <v>0</v>
      </c>
      <c r="F100" s="210"/>
      <c r="G100" s="211"/>
    </row>
    <row r="101" spans="1:7" ht="27" customHeight="1" x14ac:dyDescent="0.2">
      <c r="A101" s="230">
        <v>81</v>
      </c>
      <c r="B101" s="217" t="s">
        <v>390</v>
      </c>
      <c r="C101" s="217" t="s">
        <v>431</v>
      </c>
      <c r="D101" s="231" t="s">
        <v>98</v>
      </c>
      <c r="E101" s="172">
        <v>0</v>
      </c>
      <c r="F101" s="210"/>
      <c r="G101" s="211"/>
    </row>
    <row r="102" spans="1:7" ht="27" customHeight="1" x14ac:dyDescent="0.2">
      <c r="A102" s="230">
        <v>82</v>
      </c>
      <c r="B102" s="217" t="s">
        <v>391</v>
      </c>
      <c r="C102" s="217" t="s">
        <v>432</v>
      </c>
      <c r="D102" s="231" t="s">
        <v>98</v>
      </c>
      <c r="E102" s="172">
        <v>0</v>
      </c>
      <c r="F102" s="210"/>
      <c r="G102" s="211"/>
    </row>
    <row r="103" spans="1:7" ht="27" customHeight="1" x14ac:dyDescent="0.2">
      <c r="A103" s="230">
        <v>83</v>
      </c>
      <c r="B103" s="217" t="s">
        <v>392</v>
      </c>
      <c r="C103" s="217" t="s">
        <v>433</v>
      </c>
      <c r="D103" s="231" t="s">
        <v>98</v>
      </c>
      <c r="E103" s="172">
        <v>0</v>
      </c>
      <c r="F103" s="210"/>
      <c r="G103" s="211"/>
    </row>
    <row r="104" spans="1:7" ht="27" customHeight="1" x14ac:dyDescent="0.2">
      <c r="A104" s="230">
        <v>84</v>
      </c>
      <c r="B104" s="217" t="s">
        <v>393</v>
      </c>
      <c r="C104" s="217" t="s">
        <v>434</v>
      </c>
      <c r="D104" s="231" t="s">
        <v>98</v>
      </c>
      <c r="E104" s="172">
        <v>0</v>
      </c>
      <c r="F104" s="210"/>
      <c r="G104" s="211"/>
    </row>
    <row r="105" spans="1:7" ht="6" customHeight="1" x14ac:dyDescent="0.2">
      <c r="A105" s="282"/>
      <c r="B105" s="283"/>
      <c r="C105" s="283"/>
      <c r="D105" s="283"/>
      <c r="E105" s="284"/>
      <c r="F105" s="232"/>
      <c r="G105" s="233"/>
    </row>
    <row r="106" spans="1:7" ht="27" customHeight="1" x14ac:dyDescent="0.2">
      <c r="A106" s="278" t="s">
        <v>483</v>
      </c>
      <c r="B106" s="279"/>
      <c r="C106" s="279"/>
      <c r="D106" s="279"/>
      <c r="E106" s="280"/>
      <c r="F106" s="199"/>
      <c r="G106" s="200"/>
    </row>
    <row r="107" spans="1:7" ht="27" customHeight="1" x14ac:dyDescent="0.2">
      <c r="A107" s="209">
        <v>85</v>
      </c>
      <c r="B107" s="202" t="s">
        <v>178</v>
      </c>
      <c r="C107" s="202" t="s">
        <v>231</v>
      </c>
      <c r="D107" s="204" t="s">
        <v>98</v>
      </c>
      <c r="E107" s="262">
        <f>+IF(E117&lt;&gt;"-",VALUE(E117),)+IF(E127&lt;&gt;"-",VALUE(E127),)+IF(E137&lt;&gt;"-",VALUE(E137),)+IF(E147&lt;&gt;"-",VALUE(E147),)+IF(E157&lt;&gt;"-",VALUE(E157),)</f>
        <v>16</v>
      </c>
      <c r="F107" s="210"/>
      <c r="G107" s="211"/>
    </row>
    <row r="108" spans="1:7" ht="27" hidden="1" customHeight="1" x14ac:dyDescent="0.2">
      <c r="A108" s="209">
        <v>86</v>
      </c>
      <c r="B108" s="202" t="s">
        <v>179</v>
      </c>
      <c r="C108" s="202" t="s">
        <v>427</v>
      </c>
      <c r="D108" s="204" t="s">
        <v>98</v>
      </c>
      <c r="E108" s="264">
        <f t="shared" ref="E108:E115" si="2">+IF(E118&lt;&gt;"-",VALUE(E118),)+IF(E128&lt;&gt;"-",VALUE(E128),)+IF(E138&lt;&gt;"-",VALUE(E138),)+IF(E148&lt;&gt;"-",VALUE(E148),)+IF(E158&lt;&gt;"-",VALUE(E158),)</f>
        <v>0</v>
      </c>
      <c r="F108" s="213"/>
      <c r="G108" s="214"/>
    </row>
    <row r="109" spans="1:7" ht="27" customHeight="1" x14ac:dyDescent="0.2">
      <c r="A109" s="215">
        <v>87</v>
      </c>
      <c r="B109" s="216" t="s">
        <v>339</v>
      </c>
      <c r="C109" s="217" t="s">
        <v>428</v>
      </c>
      <c r="D109" s="218" t="s">
        <v>98</v>
      </c>
      <c r="E109" s="264">
        <f t="shared" si="2"/>
        <v>0</v>
      </c>
      <c r="F109" s="210"/>
      <c r="G109" s="211"/>
    </row>
    <row r="110" spans="1:7" ht="27" customHeight="1" x14ac:dyDescent="0.2">
      <c r="A110" s="215">
        <v>88</v>
      </c>
      <c r="B110" s="216" t="s">
        <v>341</v>
      </c>
      <c r="C110" s="217" t="s">
        <v>429</v>
      </c>
      <c r="D110" s="218" t="s">
        <v>98</v>
      </c>
      <c r="E110" s="264">
        <f t="shared" si="2"/>
        <v>0</v>
      </c>
      <c r="F110" s="210"/>
      <c r="G110" s="211"/>
    </row>
    <row r="111" spans="1:7" ht="27" customHeight="1" x14ac:dyDescent="0.2">
      <c r="A111" s="209">
        <v>89</v>
      </c>
      <c r="B111" s="202" t="s">
        <v>180</v>
      </c>
      <c r="C111" s="202" t="s">
        <v>430</v>
      </c>
      <c r="D111" s="204" t="s">
        <v>98</v>
      </c>
      <c r="E111" s="264">
        <f t="shared" si="2"/>
        <v>0</v>
      </c>
      <c r="F111" s="213"/>
      <c r="G111" s="214"/>
    </row>
    <row r="112" spans="1:7" ht="27" customHeight="1" x14ac:dyDescent="0.2">
      <c r="A112" s="209">
        <v>90</v>
      </c>
      <c r="B112" s="202" t="s">
        <v>181</v>
      </c>
      <c r="C112" s="202" t="s">
        <v>431</v>
      </c>
      <c r="D112" s="204" t="s">
        <v>98</v>
      </c>
      <c r="E112" s="264">
        <f t="shared" si="2"/>
        <v>7</v>
      </c>
      <c r="F112" s="213"/>
      <c r="G112" s="214"/>
    </row>
    <row r="113" spans="1:7" ht="27" customHeight="1" x14ac:dyDescent="0.2">
      <c r="A113" s="209">
        <v>91</v>
      </c>
      <c r="B113" s="202" t="s">
        <v>182</v>
      </c>
      <c r="C113" s="202" t="s">
        <v>432</v>
      </c>
      <c r="D113" s="204" t="s">
        <v>98</v>
      </c>
      <c r="E113" s="264">
        <f t="shared" si="2"/>
        <v>9</v>
      </c>
      <c r="F113" s="213"/>
      <c r="G113" s="214"/>
    </row>
    <row r="114" spans="1:7" ht="27" customHeight="1" x14ac:dyDescent="0.2">
      <c r="A114" s="209">
        <v>92</v>
      </c>
      <c r="B114" s="202" t="s">
        <v>183</v>
      </c>
      <c r="C114" s="202" t="s">
        <v>433</v>
      </c>
      <c r="D114" s="204" t="s">
        <v>98</v>
      </c>
      <c r="E114" s="264">
        <f t="shared" si="2"/>
        <v>0</v>
      </c>
      <c r="F114" s="213"/>
      <c r="G114" s="214"/>
    </row>
    <row r="115" spans="1:7" ht="27" customHeight="1" x14ac:dyDescent="0.2">
      <c r="A115" s="209">
        <v>93</v>
      </c>
      <c r="B115" s="202" t="s">
        <v>184</v>
      </c>
      <c r="C115" s="202" t="s">
        <v>434</v>
      </c>
      <c r="D115" s="204" t="s">
        <v>98</v>
      </c>
      <c r="E115" s="264">
        <f t="shared" si="2"/>
        <v>0</v>
      </c>
      <c r="F115" s="213"/>
      <c r="G115" s="214"/>
    </row>
    <row r="116" spans="1:7" ht="27" customHeight="1" x14ac:dyDescent="0.2">
      <c r="A116" s="278" t="s">
        <v>484</v>
      </c>
      <c r="B116" s="279"/>
      <c r="C116" s="279"/>
      <c r="D116" s="279"/>
      <c r="E116" s="280"/>
      <c r="F116" s="199"/>
      <c r="G116" s="200"/>
    </row>
    <row r="117" spans="1:7" ht="27" customHeight="1" x14ac:dyDescent="0.2">
      <c r="A117" s="209">
        <v>94</v>
      </c>
      <c r="B117" s="202" t="s">
        <v>101</v>
      </c>
      <c r="C117" s="202" t="s">
        <v>231</v>
      </c>
      <c r="D117" s="204" t="s">
        <v>98</v>
      </c>
      <c r="E117" s="262">
        <f>+IF(E119&lt;&gt;"-",VALUE(E119),)+IF(E120&lt;&gt;"-",VALUE(E120),)+IF(E121&lt;&gt;"-",VALUE(E121),)+IF(E122&lt;&gt;"-",VALUE(E122),)+IF(E123&lt;&gt;"-",VALUE(E123),)+IF(E124&lt;&gt;"-",VALUE(E124),)+IF(E125&lt;&gt;"-",VALUE(E125),)</f>
        <v>0</v>
      </c>
      <c r="F117" s="210"/>
      <c r="G117" s="211"/>
    </row>
    <row r="118" spans="1:7" ht="27" hidden="1" customHeight="1" x14ac:dyDescent="0.2">
      <c r="A118" s="209">
        <v>95</v>
      </c>
      <c r="B118" s="202" t="s">
        <v>102</v>
      </c>
      <c r="C118" s="202" t="s">
        <v>427</v>
      </c>
      <c r="D118" s="204" t="s">
        <v>98</v>
      </c>
      <c r="E118" s="226">
        <f>+IF(E119&lt;&gt;"-",VALUE(E119),)+IF(E120&lt;&gt;"-",VALUE(E120),)</f>
        <v>0</v>
      </c>
      <c r="F118" s="213"/>
      <c r="G118" s="214"/>
    </row>
    <row r="119" spans="1:7" ht="27" customHeight="1" x14ac:dyDescent="0.2">
      <c r="A119" s="215">
        <v>96</v>
      </c>
      <c r="B119" s="216" t="s">
        <v>358</v>
      </c>
      <c r="C119" s="217" t="s">
        <v>428</v>
      </c>
      <c r="D119" s="218" t="s">
        <v>98</v>
      </c>
      <c r="E119" s="172">
        <v>0</v>
      </c>
      <c r="F119" s="210"/>
      <c r="G119" s="211"/>
    </row>
    <row r="120" spans="1:7" ht="27" customHeight="1" x14ac:dyDescent="0.2">
      <c r="A120" s="215">
        <v>97</v>
      </c>
      <c r="B120" s="216" t="s">
        <v>359</v>
      </c>
      <c r="C120" s="217" t="s">
        <v>429</v>
      </c>
      <c r="D120" s="218" t="s">
        <v>98</v>
      </c>
      <c r="E120" s="172">
        <v>0</v>
      </c>
      <c r="F120" s="210"/>
      <c r="G120" s="211"/>
    </row>
    <row r="121" spans="1:7" ht="27" customHeight="1" x14ac:dyDescent="0.2">
      <c r="A121" s="209">
        <v>98</v>
      </c>
      <c r="B121" s="202" t="s">
        <v>103</v>
      </c>
      <c r="C121" s="202" t="s">
        <v>430</v>
      </c>
      <c r="D121" s="204" t="s">
        <v>98</v>
      </c>
      <c r="E121" s="172">
        <v>0</v>
      </c>
      <c r="F121" s="213"/>
      <c r="G121" s="214"/>
    </row>
    <row r="122" spans="1:7" ht="27" customHeight="1" x14ac:dyDescent="0.2">
      <c r="A122" s="209">
        <v>99</v>
      </c>
      <c r="B122" s="202" t="s">
        <v>104</v>
      </c>
      <c r="C122" s="202" t="s">
        <v>431</v>
      </c>
      <c r="D122" s="204" t="s">
        <v>98</v>
      </c>
      <c r="E122" s="172">
        <v>0</v>
      </c>
      <c r="F122" s="213"/>
      <c r="G122" s="214"/>
    </row>
    <row r="123" spans="1:7" ht="27" customHeight="1" x14ac:dyDescent="0.2">
      <c r="A123" s="209">
        <v>100</v>
      </c>
      <c r="B123" s="202" t="s">
        <v>105</v>
      </c>
      <c r="C123" s="202" t="s">
        <v>432</v>
      </c>
      <c r="D123" s="204" t="s">
        <v>98</v>
      </c>
      <c r="E123" s="172">
        <v>0</v>
      </c>
      <c r="F123" s="213"/>
      <c r="G123" s="214"/>
    </row>
    <row r="124" spans="1:7" ht="27" customHeight="1" x14ac:dyDescent="0.2">
      <c r="A124" s="209">
        <v>101</v>
      </c>
      <c r="B124" s="202" t="s">
        <v>106</v>
      </c>
      <c r="C124" s="202" t="s">
        <v>433</v>
      </c>
      <c r="D124" s="204" t="s">
        <v>98</v>
      </c>
      <c r="E124" s="172">
        <v>0</v>
      </c>
      <c r="F124" s="213"/>
      <c r="G124" s="214"/>
    </row>
    <row r="125" spans="1:7" ht="27" customHeight="1" x14ac:dyDescent="0.2">
      <c r="A125" s="209">
        <v>102</v>
      </c>
      <c r="B125" s="202" t="s">
        <v>107</v>
      </c>
      <c r="C125" s="202" t="s">
        <v>434</v>
      </c>
      <c r="D125" s="204" t="s">
        <v>98</v>
      </c>
      <c r="E125" s="172">
        <v>0</v>
      </c>
      <c r="F125" s="213"/>
      <c r="G125" s="214"/>
    </row>
    <row r="126" spans="1:7" ht="27" customHeight="1" x14ac:dyDescent="0.2">
      <c r="A126" s="278" t="s">
        <v>453</v>
      </c>
      <c r="B126" s="279"/>
      <c r="C126" s="279"/>
      <c r="D126" s="279"/>
      <c r="E126" s="280"/>
      <c r="F126" s="199"/>
      <c r="G126" s="200"/>
    </row>
    <row r="127" spans="1:7" ht="27" customHeight="1" x14ac:dyDescent="0.2">
      <c r="A127" s="209">
        <v>103</v>
      </c>
      <c r="B127" s="202" t="s">
        <v>108</v>
      </c>
      <c r="C127" s="202" t="s">
        <v>231</v>
      </c>
      <c r="D127" s="204" t="s">
        <v>98</v>
      </c>
      <c r="E127" s="262">
        <f>+IF(E129&lt;&gt;"-",VALUE(E129),)+IF(E130&lt;&gt;"-",VALUE(E130),)+IF(E131&lt;&gt;"-",VALUE(E131),)+IF(E132&lt;&gt;"-",VALUE(E132),)+IF(E133&lt;&gt;"-",VALUE(E133),)+IF(E134&lt;&gt;"-",VALUE(E134),)+IF(E135&lt;&gt;"-",VALUE(E135),)</f>
        <v>0</v>
      </c>
      <c r="F127" s="210"/>
      <c r="G127" s="211"/>
    </row>
    <row r="128" spans="1:7" ht="27" hidden="1" customHeight="1" x14ac:dyDescent="0.2">
      <c r="A128" s="209">
        <v>104</v>
      </c>
      <c r="B128" s="202" t="s">
        <v>109</v>
      </c>
      <c r="C128" s="202" t="s">
        <v>427</v>
      </c>
      <c r="D128" s="204" t="s">
        <v>98</v>
      </c>
      <c r="E128" s="226">
        <f>+IF(E129&lt;&gt;"-",VALUE(E129),)+IF(E130&lt;&gt;"-",VALUE(E130),)</f>
        <v>0</v>
      </c>
      <c r="F128" s="213"/>
      <c r="G128" s="214"/>
    </row>
    <row r="129" spans="1:7" ht="27" customHeight="1" x14ac:dyDescent="0.2">
      <c r="A129" s="215">
        <v>105</v>
      </c>
      <c r="B129" s="216" t="s">
        <v>360</v>
      </c>
      <c r="C129" s="217" t="s">
        <v>428</v>
      </c>
      <c r="D129" s="218" t="s">
        <v>98</v>
      </c>
      <c r="E129" s="172">
        <v>0</v>
      </c>
      <c r="F129" s="210"/>
      <c r="G129" s="211"/>
    </row>
    <row r="130" spans="1:7" ht="27" customHeight="1" x14ac:dyDescent="0.2">
      <c r="A130" s="215">
        <v>106</v>
      </c>
      <c r="B130" s="216" t="s">
        <v>361</v>
      </c>
      <c r="C130" s="217" t="s">
        <v>429</v>
      </c>
      <c r="D130" s="218" t="s">
        <v>98</v>
      </c>
      <c r="E130" s="172">
        <v>0</v>
      </c>
      <c r="F130" s="210"/>
      <c r="G130" s="211"/>
    </row>
    <row r="131" spans="1:7" ht="27" customHeight="1" x14ac:dyDescent="0.2">
      <c r="A131" s="209">
        <v>107</v>
      </c>
      <c r="B131" s="202" t="s">
        <v>110</v>
      </c>
      <c r="C131" s="202" t="s">
        <v>430</v>
      </c>
      <c r="D131" s="204" t="s">
        <v>98</v>
      </c>
      <c r="E131" s="172">
        <v>0</v>
      </c>
      <c r="F131" s="213"/>
      <c r="G131" s="214"/>
    </row>
    <row r="132" spans="1:7" ht="27" customHeight="1" x14ac:dyDescent="0.2">
      <c r="A132" s="209">
        <v>108</v>
      </c>
      <c r="B132" s="202" t="s">
        <v>111</v>
      </c>
      <c r="C132" s="202" t="s">
        <v>431</v>
      </c>
      <c r="D132" s="204" t="s">
        <v>98</v>
      </c>
      <c r="E132" s="172">
        <v>0</v>
      </c>
      <c r="F132" s="213"/>
      <c r="G132" s="214"/>
    </row>
    <row r="133" spans="1:7" ht="27" customHeight="1" x14ac:dyDescent="0.2">
      <c r="A133" s="209">
        <v>109</v>
      </c>
      <c r="B133" s="202" t="s">
        <v>112</v>
      </c>
      <c r="C133" s="202" t="s">
        <v>432</v>
      </c>
      <c r="D133" s="204" t="s">
        <v>98</v>
      </c>
      <c r="E133" s="172">
        <v>0</v>
      </c>
      <c r="F133" s="213"/>
      <c r="G133" s="214"/>
    </row>
    <row r="134" spans="1:7" ht="27" customHeight="1" x14ac:dyDescent="0.2">
      <c r="A134" s="209">
        <v>110</v>
      </c>
      <c r="B134" s="202" t="s">
        <v>113</v>
      </c>
      <c r="C134" s="202" t="s">
        <v>433</v>
      </c>
      <c r="D134" s="204" t="s">
        <v>98</v>
      </c>
      <c r="E134" s="172">
        <v>0</v>
      </c>
      <c r="F134" s="213"/>
      <c r="G134" s="214"/>
    </row>
    <row r="135" spans="1:7" ht="27" customHeight="1" x14ac:dyDescent="0.2">
      <c r="A135" s="209">
        <v>111</v>
      </c>
      <c r="B135" s="202" t="s">
        <v>114</v>
      </c>
      <c r="C135" s="202" t="s">
        <v>434</v>
      </c>
      <c r="D135" s="204" t="s">
        <v>98</v>
      </c>
      <c r="E135" s="172">
        <v>0</v>
      </c>
      <c r="F135" s="213"/>
      <c r="G135" s="214"/>
    </row>
    <row r="136" spans="1:7" ht="27" customHeight="1" x14ac:dyDescent="0.2">
      <c r="A136" s="278" t="s">
        <v>485</v>
      </c>
      <c r="B136" s="279"/>
      <c r="C136" s="279"/>
      <c r="D136" s="279"/>
      <c r="E136" s="280"/>
      <c r="F136" s="199"/>
      <c r="G136" s="200"/>
    </row>
    <row r="137" spans="1:7" ht="27" customHeight="1" x14ac:dyDescent="0.2">
      <c r="A137" s="209">
        <v>112</v>
      </c>
      <c r="B137" s="202" t="s">
        <v>129</v>
      </c>
      <c r="C137" s="202" t="s">
        <v>231</v>
      </c>
      <c r="D137" s="204" t="s">
        <v>98</v>
      </c>
      <c r="E137" s="262">
        <f>+IF(E139&lt;&gt;"-",VALUE(E139),)+IF(E140&lt;&gt;"-",VALUE(E140),)+IF(E141&lt;&gt;"-",VALUE(E141),)+IF(E142&lt;&gt;"-",VALUE(E142),)+IF(E143&lt;&gt;"-",VALUE(E143),)+IF(E144&lt;&gt;"-",VALUE(E144),)+IF(E145&lt;&gt;"-",VALUE(E145),)</f>
        <v>7</v>
      </c>
      <c r="F137" s="210"/>
      <c r="G137" s="211"/>
    </row>
    <row r="138" spans="1:7" ht="27" hidden="1" customHeight="1" x14ac:dyDescent="0.2">
      <c r="A138" s="209">
        <v>113</v>
      </c>
      <c r="B138" s="202" t="s">
        <v>130</v>
      </c>
      <c r="C138" s="202" t="s">
        <v>427</v>
      </c>
      <c r="D138" s="204" t="s">
        <v>98</v>
      </c>
      <c r="E138" s="226">
        <f>+IF(E139&lt;&gt;"-",VALUE(E139),)+IF(E140&lt;&gt;"-",VALUE(E140),)</f>
        <v>0</v>
      </c>
      <c r="F138" s="213"/>
      <c r="G138" s="214"/>
    </row>
    <row r="139" spans="1:7" ht="27" customHeight="1" x14ac:dyDescent="0.2">
      <c r="A139" s="215">
        <v>114</v>
      </c>
      <c r="B139" s="216" t="s">
        <v>362</v>
      </c>
      <c r="C139" s="217" t="s">
        <v>428</v>
      </c>
      <c r="D139" s="218" t="s">
        <v>98</v>
      </c>
      <c r="E139" s="172">
        <v>0</v>
      </c>
      <c r="F139" s="210"/>
      <c r="G139" s="211"/>
    </row>
    <row r="140" spans="1:7" ht="27" customHeight="1" x14ac:dyDescent="0.2">
      <c r="A140" s="215">
        <v>115</v>
      </c>
      <c r="B140" s="216" t="s">
        <v>363</v>
      </c>
      <c r="C140" s="217" t="s">
        <v>429</v>
      </c>
      <c r="D140" s="218" t="s">
        <v>98</v>
      </c>
      <c r="E140" s="172">
        <v>0</v>
      </c>
      <c r="F140" s="210"/>
      <c r="G140" s="211"/>
    </row>
    <row r="141" spans="1:7" ht="27" customHeight="1" x14ac:dyDescent="0.2">
      <c r="A141" s="209">
        <v>116</v>
      </c>
      <c r="B141" s="202" t="s">
        <v>131</v>
      </c>
      <c r="C141" s="202" t="s">
        <v>430</v>
      </c>
      <c r="D141" s="204" t="s">
        <v>98</v>
      </c>
      <c r="E141" s="172">
        <v>0</v>
      </c>
      <c r="F141" s="213"/>
      <c r="G141" s="214"/>
    </row>
    <row r="142" spans="1:7" ht="27" customHeight="1" x14ac:dyDescent="0.2">
      <c r="A142" s="209">
        <v>117</v>
      </c>
      <c r="B142" s="202" t="s">
        <v>132</v>
      </c>
      <c r="C142" s="202" t="s">
        <v>431</v>
      </c>
      <c r="D142" s="204" t="s">
        <v>98</v>
      </c>
      <c r="E142" s="172">
        <v>7</v>
      </c>
      <c r="F142" s="213"/>
      <c r="G142" s="214"/>
    </row>
    <row r="143" spans="1:7" ht="27" customHeight="1" x14ac:dyDescent="0.2">
      <c r="A143" s="209">
        <v>118</v>
      </c>
      <c r="B143" s="202" t="s">
        <v>133</v>
      </c>
      <c r="C143" s="202" t="s">
        <v>432</v>
      </c>
      <c r="D143" s="204" t="s">
        <v>98</v>
      </c>
      <c r="E143" s="172">
        <v>0</v>
      </c>
      <c r="F143" s="213"/>
      <c r="G143" s="214"/>
    </row>
    <row r="144" spans="1:7" ht="27" customHeight="1" x14ac:dyDescent="0.2">
      <c r="A144" s="209">
        <v>119</v>
      </c>
      <c r="B144" s="202" t="s">
        <v>134</v>
      </c>
      <c r="C144" s="202" t="s">
        <v>433</v>
      </c>
      <c r="D144" s="204" t="s">
        <v>98</v>
      </c>
      <c r="E144" s="172">
        <v>0</v>
      </c>
      <c r="F144" s="213"/>
      <c r="G144" s="214"/>
    </row>
    <row r="145" spans="1:7" ht="27" customHeight="1" x14ac:dyDescent="0.2">
      <c r="A145" s="209">
        <v>120</v>
      </c>
      <c r="B145" s="202" t="s">
        <v>135</v>
      </c>
      <c r="C145" s="202" t="s">
        <v>434</v>
      </c>
      <c r="D145" s="204" t="s">
        <v>98</v>
      </c>
      <c r="E145" s="172">
        <v>0</v>
      </c>
      <c r="F145" s="213"/>
      <c r="G145" s="214"/>
    </row>
    <row r="146" spans="1:7" ht="27" customHeight="1" x14ac:dyDescent="0.2">
      <c r="A146" s="278" t="s">
        <v>454</v>
      </c>
      <c r="B146" s="279"/>
      <c r="C146" s="279"/>
      <c r="D146" s="279"/>
      <c r="E146" s="280"/>
      <c r="F146" s="199"/>
      <c r="G146" s="200"/>
    </row>
    <row r="147" spans="1:7" ht="27" customHeight="1" x14ac:dyDescent="0.2">
      <c r="A147" s="209">
        <v>121</v>
      </c>
      <c r="B147" s="202" t="s">
        <v>122</v>
      </c>
      <c r="C147" s="202" t="s">
        <v>231</v>
      </c>
      <c r="D147" s="204" t="s">
        <v>98</v>
      </c>
      <c r="E147" s="262">
        <f>+IF(E149&lt;&gt;"-",VALUE(E149),)+IF(E150&lt;&gt;"-",VALUE(E150),)+IF(E151&lt;&gt;"-",VALUE(E151),)+IF(E152&lt;&gt;"-",VALUE(E152),)+IF(E153&lt;&gt;"-",VALUE(E153),)+IF(E154&lt;&gt;"-",VALUE(E154),)+IF(E155&lt;&gt;"-",VALUE(E155),)</f>
        <v>6</v>
      </c>
      <c r="F147" s="210"/>
      <c r="G147" s="211"/>
    </row>
    <row r="148" spans="1:7" ht="27" hidden="1" customHeight="1" x14ac:dyDescent="0.2">
      <c r="A148" s="209">
        <v>122</v>
      </c>
      <c r="B148" s="202" t="s">
        <v>123</v>
      </c>
      <c r="C148" s="202" t="s">
        <v>427</v>
      </c>
      <c r="D148" s="204" t="s">
        <v>98</v>
      </c>
      <c r="E148" s="226">
        <f>+IF(E149&lt;&gt;"-",VALUE(E149),)+IF(E150&lt;&gt;"-",VALUE(E150),)</f>
        <v>0</v>
      </c>
      <c r="F148" s="213"/>
      <c r="G148" s="214"/>
    </row>
    <row r="149" spans="1:7" ht="27" customHeight="1" x14ac:dyDescent="0.2">
      <c r="A149" s="215">
        <v>123</v>
      </c>
      <c r="B149" s="216" t="s">
        <v>364</v>
      </c>
      <c r="C149" s="217" t="s">
        <v>428</v>
      </c>
      <c r="D149" s="218" t="s">
        <v>98</v>
      </c>
      <c r="E149" s="172">
        <v>0</v>
      </c>
      <c r="F149" s="210"/>
      <c r="G149" s="211"/>
    </row>
    <row r="150" spans="1:7" ht="27" customHeight="1" x14ac:dyDescent="0.2">
      <c r="A150" s="215">
        <v>124</v>
      </c>
      <c r="B150" s="216" t="s">
        <v>365</v>
      </c>
      <c r="C150" s="217" t="s">
        <v>429</v>
      </c>
      <c r="D150" s="218" t="s">
        <v>98</v>
      </c>
      <c r="E150" s="172">
        <v>0</v>
      </c>
      <c r="F150" s="210"/>
      <c r="G150" s="211"/>
    </row>
    <row r="151" spans="1:7" ht="27" customHeight="1" x14ac:dyDescent="0.2">
      <c r="A151" s="209">
        <v>125</v>
      </c>
      <c r="B151" s="202" t="s">
        <v>124</v>
      </c>
      <c r="C151" s="202" t="s">
        <v>430</v>
      </c>
      <c r="D151" s="204" t="s">
        <v>98</v>
      </c>
      <c r="E151" s="172">
        <v>0</v>
      </c>
      <c r="F151" s="213"/>
      <c r="G151" s="214"/>
    </row>
    <row r="152" spans="1:7" ht="27" customHeight="1" x14ac:dyDescent="0.2">
      <c r="A152" s="209">
        <v>126</v>
      </c>
      <c r="B152" s="202" t="s">
        <v>125</v>
      </c>
      <c r="C152" s="202" t="s">
        <v>431</v>
      </c>
      <c r="D152" s="204" t="s">
        <v>98</v>
      </c>
      <c r="E152" s="172">
        <v>0</v>
      </c>
      <c r="F152" s="213"/>
      <c r="G152" s="214"/>
    </row>
    <row r="153" spans="1:7" ht="27" customHeight="1" x14ac:dyDescent="0.2">
      <c r="A153" s="209">
        <v>127</v>
      </c>
      <c r="B153" s="202" t="s">
        <v>126</v>
      </c>
      <c r="C153" s="202" t="s">
        <v>432</v>
      </c>
      <c r="D153" s="204" t="s">
        <v>98</v>
      </c>
      <c r="E153" s="172">
        <v>6</v>
      </c>
      <c r="F153" s="213"/>
      <c r="G153" s="214"/>
    </row>
    <row r="154" spans="1:7" ht="27" customHeight="1" x14ac:dyDescent="0.2">
      <c r="A154" s="209">
        <v>128</v>
      </c>
      <c r="B154" s="202" t="s">
        <v>127</v>
      </c>
      <c r="C154" s="202" t="s">
        <v>433</v>
      </c>
      <c r="D154" s="204" t="s">
        <v>98</v>
      </c>
      <c r="E154" s="172">
        <v>0</v>
      </c>
      <c r="F154" s="213"/>
      <c r="G154" s="214"/>
    </row>
    <row r="155" spans="1:7" ht="27" customHeight="1" x14ac:dyDescent="0.2">
      <c r="A155" s="209">
        <v>129</v>
      </c>
      <c r="B155" s="202" t="s">
        <v>128</v>
      </c>
      <c r="C155" s="202" t="s">
        <v>434</v>
      </c>
      <c r="D155" s="204" t="s">
        <v>98</v>
      </c>
      <c r="E155" s="172">
        <v>0</v>
      </c>
      <c r="F155" s="213"/>
      <c r="G155" s="214"/>
    </row>
    <row r="156" spans="1:7" ht="27" hidden="1" customHeight="1" x14ac:dyDescent="0.2">
      <c r="A156" s="278" t="s">
        <v>455</v>
      </c>
      <c r="B156" s="279"/>
      <c r="C156" s="279"/>
      <c r="D156" s="279"/>
      <c r="E156" s="280"/>
      <c r="F156" s="199"/>
      <c r="G156" s="200"/>
    </row>
    <row r="157" spans="1:7" ht="30" hidden="1" customHeight="1" x14ac:dyDescent="0.2">
      <c r="A157" s="209">
        <v>130</v>
      </c>
      <c r="B157" s="202" t="s">
        <v>115</v>
      </c>
      <c r="C157" s="202" t="s">
        <v>231</v>
      </c>
      <c r="D157" s="204" t="s">
        <v>98</v>
      </c>
      <c r="E157" s="262">
        <f>+IF(E159&lt;&gt;"-",VALUE(E159),)+IF(E160&lt;&gt;"-",VALUE(E160),)+IF(E161&lt;&gt;"-",VALUE(E161),)+IF(E162&lt;&gt;"-",VALUE(E162),)+IF(E163&lt;&gt;"-",VALUE(E163),)+IF(E164&lt;&gt;"-",VALUE(E164),)+IF(E165&lt;&gt;"-",VALUE(E165),)</f>
        <v>3</v>
      </c>
      <c r="F157" s="210"/>
      <c r="G157" s="211"/>
    </row>
    <row r="158" spans="1:7" ht="30" hidden="1" customHeight="1" x14ac:dyDescent="0.2">
      <c r="A158" s="209">
        <v>131</v>
      </c>
      <c r="B158" s="202" t="s">
        <v>116</v>
      </c>
      <c r="C158" s="202" t="s">
        <v>427</v>
      </c>
      <c r="D158" s="204" t="s">
        <v>98</v>
      </c>
      <c r="E158" s="264">
        <f>+IF(E159&lt;&gt;"-",VALUE(E159),)+IF(E160&lt;&gt;"-",VALUE(E160),)</f>
        <v>0</v>
      </c>
      <c r="F158" s="210"/>
      <c r="G158" s="211"/>
    </row>
    <row r="159" spans="1:7" ht="30" hidden="1" customHeight="1" x14ac:dyDescent="0.2">
      <c r="A159" s="215">
        <v>132</v>
      </c>
      <c r="B159" s="216" t="s">
        <v>418</v>
      </c>
      <c r="C159" s="217" t="s">
        <v>428</v>
      </c>
      <c r="D159" s="218" t="s">
        <v>98</v>
      </c>
      <c r="E159" s="264">
        <f t="shared" ref="E159:E165" si="3">+IF(E168&lt;&gt;"-",VALUE(E168),)+IF(E177&lt;&gt;"-",VALUE(E177),)</f>
        <v>0</v>
      </c>
      <c r="F159" s="210"/>
      <c r="G159" s="211"/>
    </row>
    <row r="160" spans="1:7" ht="30" hidden="1" customHeight="1" x14ac:dyDescent="0.2">
      <c r="A160" s="215">
        <v>133</v>
      </c>
      <c r="B160" s="216" t="s">
        <v>419</v>
      </c>
      <c r="C160" s="217" t="s">
        <v>429</v>
      </c>
      <c r="D160" s="218" t="s">
        <v>98</v>
      </c>
      <c r="E160" s="264">
        <f t="shared" si="3"/>
        <v>0</v>
      </c>
      <c r="F160" s="210"/>
      <c r="G160" s="211"/>
    </row>
    <row r="161" spans="1:7" ht="30" hidden="1" customHeight="1" x14ac:dyDescent="0.2">
      <c r="A161" s="209">
        <v>134</v>
      </c>
      <c r="B161" s="202" t="s">
        <v>117</v>
      </c>
      <c r="C161" s="202" t="s">
        <v>430</v>
      </c>
      <c r="D161" s="204" t="s">
        <v>98</v>
      </c>
      <c r="E161" s="264">
        <f t="shared" si="3"/>
        <v>0</v>
      </c>
      <c r="F161" s="213"/>
      <c r="G161" s="214"/>
    </row>
    <row r="162" spans="1:7" ht="30" hidden="1" customHeight="1" x14ac:dyDescent="0.2">
      <c r="A162" s="209">
        <v>135</v>
      </c>
      <c r="B162" s="202" t="s">
        <v>118</v>
      </c>
      <c r="C162" s="202" t="s">
        <v>431</v>
      </c>
      <c r="D162" s="204" t="s">
        <v>98</v>
      </c>
      <c r="E162" s="264">
        <f t="shared" si="3"/>
        <v>0</v>
      </c>
      <c r="F162" s="213"/>
      <c r="G162" s="214"/>
    </row>
    <row r="163" spans="1:7" ht="30" hidden="1" customHeight="1" x14ac:dyDescent="0.2">
      <c r="A163" s="209">
        <v>136</v>
      </c>
      <c r="B163" s="202" t="s">
        <v>119</v>
      </c>
      <c r="C163" s="202" t="s">
        <v>432</v>
      </c>
      <c r="D163" s="204" t="s">
        <v>98</v>
      </c>
      <c r="E163" s="264">
        <f t="shared" si="3"/>
        <v>3</v>
      </c>
      <c r="F163" s="213"/>
      <c r="G163" s="214"/>
    </row>
    <row r="164" spans="1:7" ht="30" hidden="1" customHeight="1" x14ac:dyDescent="0.2">
      <c r="A164" s="209">
        <v>137</v>
      </c>
      <c r="B164" s="202" t="s">
        <v>120</v>
      </c>
      <c r="C164" s="202" t="s">
        <v>433</v>
      </c>
      <c r="D164" s="204" t="s">
        <v>98</v>
      </c>
      <c r="E164" s="264">
        <f t="shared" si="3"/>
        <v>0</v>
      </c>
      <c r="F164" s="213"/>
      <c r="G164" s="214"/>
    </row>
    <row r="165" spans="1:7" ht="30" hidden="1" customHeight="1" x14ac:dyDescent="0.2">
      <c r="A165" s="209">
        <v>138</v>
      </c>
      <c r="B165" s="202" t="s">
        <v>121</v>
      </c>
      <c r="C165" s="202" t="s">
        <v>434</v>
      </c>
      <c r="D165" s="204" t="s">
        <v>98</v>
      </c>
      <c r="E165" s="264">
        <f t="shared" si="3"/>
        <v>0</v>
      </c>
      <c r="F165" s="213"/>
      <c r="G165" s="214"/>
    </row>
    <row r="166" spans="1:7" ht="27" customHeight="1" x14ac:dyDescent="0.2">
      <c r="A166" s="285" t="s">
        <v>456</v>
      </c>
      <c r="B166" s="279"/>
      <c r="C166" s="279"/>
      <c r="D166" s="279"/>
      <c r="E166" s="280"/>
      <c r="F166" s="199"/>
      <c r="G166" s="200"/>
    </row>
    <row r="167" spans="1:7" ht="27" customHeight="1" x14ac:dyDescent="0.2">
      <c r="A167" s="230">
        <v>139</v>
      </c>
      <c r="B167" s="217" t="s">
        <v>374</v>
      </c>
      <c r="C167" s="217" t="s">
        <v>231</v>
      </c>
      <c r="D167" s="218" t="s">
        <v>98</v>
      </c>
      <c r="E167" s="264">
        <f>+IF(E168&lt;&gt;"-",VALUE(E168),)+IF(E169&lt;&gt;"-",VALUE(E169),)+IF(E170&lt;&gt;"-",VALUE(E170),)+IF(E171&lt;&gt;"-",VALUE(E171),)+IF(E172&lt;&gt;"-",VALUE(E172),)+IF(E173&lt;&gt;"-",VALUE(E173),)+IF(E174&lt;&gt;"-",VALUE(E174),)</f>
        <v>0</v>
      </c>
      <c r="F167" s="210"/>
      <c r="G167" s="211"/>
    </row>
    <row r="168" spans="1:7" ht="27" customHeight="1" x14ac:dyDescent="0.2">
      <c r="A168" s="230">
        <v>140</v>
      </c>
      <c r="B168" s="216" t="s">
        <v>375</v>
      </c>
      <c r="C168" s="217" t="s">
        <v>428</v>
      </c>
      <c r="D168" s="218" t="s">
        <v>98</v>
      </c>
      <c r="E168" s="172">
        <v>0</v>
      </c>
      <c r="F168" s="210"/>
      <c r="G168" s="211"/>
    </row>
    <row r="169" spans="1:7" ht="27" customHeight="1" x14ac:dyDescent="0.2">
      <c r="A169" s="230">
        <v>141</v>
      </c>
      <c r="B169" s="216" t="s">
        <v>376</v>
      </c>
      <c r="C169" s="217" t="s">
        <v>429</v>
      </c>
      <c r="D169" s="218" t="s">
        <v>98</v>
      </c>
      <c r="E169" s="172">
        <v>0</v>
      </c>
      <c r="F169" s="210"/>
      <c r="G169" s="211"/>
    </row>
    <row r="170" spans="1:7" ht="27" customHeight="1" x14ac:dyDescent="0.2">
      <c r="A170" s="230">
        <v>142</v>
      </c>
      <c r="B170" s="217" t="s">
        <v>377</v>
      </c>
      <c r="C170" s="217" t="s">
        <v>430</v>
      </c>
      <c r="D170" s="218" t="s">
        <v>98</v>
      </c>
      <c r="E170" s="172">
        <v>0</v>
      </c>
      <c r="F170" s="210"/>
      <c r="G170" s="211"/>
    </row>
    <row r="171" spans="1:7" ht="27" customHeight="1" x14ac:dyDescent="0.2">
      <c r="A171" s="230">
        <v>143</v>
      </c>
      <c r="B171" s="217" t="s">
        <v>378</v>
      </c>
      <c r="C171" s="217" t="s">
        <v>431</v>
      </c>
      <c r="D171" s="218" t="s">
        <v>98</v>
      </c>
      <c r="E171" s="172">
        <v>0</v>
      </c>
      <c r="F171" s="210"/>
      <c r="G171" s="211"/>
    </row>
    <row r="172" spans="1:7" ht="27" customHeight="1" x14ac:dyDescent="0.2">
      <c r="A172" s="230">
        <v>144</v>
      </c>
      <c r="B172" s="217" t="s">
        <v>379</v>
      </c>
      <c r="C172" s="217" t="s">
        <v>432</v>
      </c>
      <c r="D172" s="218" t="s">
        <v>98</v>
      </c>
      <c r="E172" s="172">
        <v>0</v>
      </c>
      <c r="F172" s="210"/>
      <c r="G172" s="211"/>
    </row>
    <row r="173" spans="1:7" ht="27" customHeight="1" x14ac:dyDescent="0.2">
      <c r="A173" s="230">
        <v>145</v>
      </c>
      <c r="B173" s="217" t="s">
        <v>380</v>
      </c>
      <c r="C173" s="217" t="s">
        <v>433</v>
      </c>
      <c r="D173" s="218" t="s">
        <v>98</v>
      </c>
      <c r="E173" s="172">
        <v>0</v>
      </c>
      <c r="F173" s="210"/>
      <c r="G173" s="211"/>
    </row>
    <row r="174" spans="1:7" ht="27" customHeight="1" x14ac:dyDescent="0.2">
      <c r="A174" s="230">
        <v>146</v>
      </c>
      <c r="B174" s="217" t="s">
        <v>381</v>
      </c>
      <c r="C174" s="217" t="s">
        <v>434</v>
      </c>
      <c r="D174" s="218" t="s">
        <v>98</v>
      </c>
      <c r="E174" s="172">
        <v>0</v>
      </c>
      <c r="F174" s="210"/>
      <c r="G174" s="211"/>
    </row>
    <row r="175" spans="1:7" ht="27" customHeight="1" x14ac:dyDescent="0.2">
      <c r="A175" s="285" t="s">
        <v>425</v>
      </c>
      <c r="B175" s="279"/>
      <c r="C175" s="279"/>
      <c r="D175" s="279"/>
      <c r="E175" s="280"/>
      <c r="F175" s="199"/>
      <c r="G175" s="200"/>
    </row>
    <row r="176" spans="1:7" ht="27" customHeight="1" x14ac:dyDescent="0.2">
      <c r="A176" s="230">
        <v>147</v>
      </c>
      <c r="B176" s="217" t="s">
        <v>382</v>
      </c>
      <c r="C176" s="217" t="s">
        <v>231</v>
      </c>
      <c r="D176" s="218" t="s">
        <v>98</v>
      </c>
      <c r="E176" s="264">
        <f>+IF(E177&lt;&gt;"-",VALUE(E177),)+IF(E178&lt;&gt;"-",VALUE(E178),)+IF(E179&lt;&gt;"-",VALUE(E179),)+IF(E180&lt;&gt;"-",VALUE(E180),)+IF(E181&lt;&gt;"-",VALUE(E181),)+IF(E182&lt;&gt;"-",VALUE(E182),)+IF(E183&lt;&gt;"-",VALUE(E183),)</f>
        <v>3</v>
      </c>
      <c r="F176" s="210"/>
      <c r="G176" s="211"/>
    </row>
    <row r="177" spans="1:7" ht="27" customHeight="1" x14ac:dyDescent="0.2">
      <c r="A177" s="230">
        <v>148</v>
      </c>
      <c r="B177" s="217" t="s">
        <v>410</v>
      </c>
      <c r="C177" s="217" t="s">
        <v>428</v>
      </c>
      <c r="D177" s="218" t="s">
        <v>98</v>
      </c>
      <c r="E177" s="172">
        <v>0</v>
      </c>
      <c r="F177" s="210"/>
      <c r="G177" s="211"/>
    </row>
    <row r="178" spans="1:7" ht="27" customHeight="1" x14ac:dyDescent="0.2">
      <c r="A178" s="230">
        <v>149</v>
      </c>
      <c r="B178" s="217" t="s">
        <v>411</v>
      </c>
      <c r="C178" s="217" t="s">
        <v>429</v>
      </c>
      <c r="D178" s="218" t="s">
        <v>98</v>
      </c>
      <c r="E178" s="172">
        <v>0</v>
      </c>
      <c r="F178" s="210"/>
      <c r="G178" s="211"/>
    </row>
    <row r="179" spans="1:7" ht="27" customHeight="1" x14ac:dyDescent="0.2">
      <c r="A179" s="230">
        <v>150</v>
      </c>
      <c r="B179" s="217" t="s">
        <v>383</v>
      </c>
      <c r="C179" s="217" t="s">
        <v>430</v>
      </c>
      <c r="D179" s="218" t="s">
        <v>98</v>
      </c>
      <c r="E179" s="172">
        <v>0</v>
      </c>
      <c r="F179" s="210"/>
      <c r="G179" s="211"/>
    </row>
    <row r="180" spans="1:7" ht="27" customHeight="1" x14ac:dyDescent="0.2">
      <c r="A180" s="230">
        <v>151</v>
      </c>
      <c r="B180" s="217" t="s">
        <v>384</v>
      </c>
      <c r="C180" s="217" t="s">
        <v>431</v>
      </c>
      <c r="D180" s="218" t="s">
        <v>98</v>
      </c>
      <c r="E180" s="172">
        <v>0</v>
      </c>
      <c r="F180" s="210"/>
      <c r="G180" s="211"/>
    </row>
    <row r="181" spans="1:7" ht="27" customHeight="1" x14ac:dyDescent="0.2">
      <c r="A181" s="230">
        <v>152</v>
      </c>
      <c r="B181" s="217" t="s">
        <v>385</v>
      </c>
      <c r="C181" s="217" t="s">
        <v>432</v>
      </c>
      <c r="D181" s="218" t="s">
        <v>98</v>
      </c>
      <c r="E181" s="172">
        <v>3</v>
      </c>
      <c r="F181" s="210"/>
      <c r="G181" s="211"/>
    </row>
    <row r="182" spans="1:7" ht="27" customHeight="1" x14ac:dyDescent="0.2">
      <c r="A182" s="230">
        <v>153</v>
      </c>
      <c r="B182" s="217" t="s">
        <v>386</v>
      </c>
      <c r="C182" s="217" t="s">
        <v>433</v>
      </c>
      <c r="D182" s="218" t="s">
        <v>98</v>
      </c>
      <c r="E182" s="172">
        <v>0</v>
      </c>
      <c r="F182" s="210"/>
      <c r="G182" s="211"/>
    </row>
    <row r="183" spans="1:7" ht="27" customHeight="1" x14ac:dyDescent="0.2">
      <c r="A183" s="230">
        <v>154</v>
      </c>
      <c r="B183" s="217" t="s">
        <v>387</v>
      </c>
      <c r="C183" s="217" t="s">
        <v>434</v>
      </c>
      <c r="D183" s="218" t="s">
        <v>98</v>
      </c>
      <c r="E183" s="172">
        <v>0</v>
      </c>
      <c r="F183" s="210"/>
      <c r="G183" s="211"/>
    </row>
    <row r="184" spans="1:7" ht="4.5" customHeight="1" x14ac:dyDescent="0.2">
      <c r="A184" s="205"/>
      <c r="B184" s="206"/>
      <c r="C184" s="234"/>
      <c r="D184" s="207"/>
      <c r="E184" s="235"/>
      <c r="F184" s="224"/>
      <c r="G184" s="225"/>
    </row>
    <row r="185" spans="1:7" ht="30" customHeight="1" x14ac:dyDescent="0.2">
      <c r="A185" s="278" t="s">
        <v>426</v>
      </c>
      <c r="B185" s="279"/>
      <c r="C185" s="279"/>
      <c r="D185" s="279"/>
      <c r="E185" s="280"/>
      <c r="F185" s="199"/>
      <c r="G185" s="200"/>
    </row>
    <row r="186" spans="1:7" ht="30" customHeight="1" x14ac:dyDescent="0.2">
      <c r="A186" s="209">
        <v>155</v>
      </c>
      <c r="B186" s="202" t="s">
        <v>207</v>
      </c>
      <c r="C186" s="202" t="s">
        <v>198</v>
      </c>
      <c r="D186" s="204" t="s">
        <v>98</v>
      </c>
      <c r="E186" s="262">
        <f>+IF(E187&lt;&gt;"-",VALUE(E187),)+IF(E188&lt;&gt;"-",VALUE(E188),)</f>
        <v>0</v>
      </c>
      <c r="F186" s="210"/>
      <c r="G186" s="211"/>
    </row>
    <row r="187" spans="1:7" ht="30" customHeight="1" x14ac:dyDescent="0.2">
      <c r="A187" s="209">
        <v>156</v>
      </c>
      <c r="B187" s="202" t="s">
        <v>208</v>
      </c>
      <c r="C187" s="202" t="s">
        <v>486</v>
      </c>
      <c r="D187" s="204" t="s">
        <v>98</v>
      </c>
      <c r="E187" s="172">
        <v>0</v>
      </c>
      <c r="F187" s="210"/>
      <c r="G187" s="211"/>
    </row>
    <row r="188" spans="1:7" ht="30" customHeight="1" x14ac:dyDescent="0.2">
      <c r="A188" s="209">
        <v>157</v>
      </c>
      <c r="B188" s="202" t="s">
        <v>209</v>
      </c>
      <c r="C188" s="202" t="s">
        <v>487</v>
      </c>
      <c r="D188" s="204" t="s">
        <v>98</v>
      </c>
      <c r="E188" s="172">
        <v>0</v>
      </c>
      <c r="F188" s="228"/>
      <c r="G188" s="229"/>
    </row>
    <row r="189" spans="1:7" ht="4.5" customHeight="1" x14ac:dyDescent="0.2">
      <c r="A189" s="205"/>
      <c r="B189" s="206"/>
      <c r="C189" s="234"/>
      <c r="D189" s="207"/>
      <c r="E189" s="235"/>
      <c r="F189" s="224"/>
      <c r="G189" s="225"/>
    </row>
    <row r="190" spans="1:7" ht="30" customHeight="1" x14ac:dyDescent="0.2">
      <c r="A190" s="278" t="s">
        <v>422</v>
      </c>
      <c r="B190" s="279"/>
      <c r="C190" s="279"/>
      <c r="D190" s="279"/>
      <c r="E190" s="280"/>
      <c r="F190" s="199"/>
      <c r="G190" s="200"/>
    </row>
    <row r="191" spans="1:7" ht="30" customHeight="1" x14ac:dyDescent="0.2">
      <c r="A191" s="209">
        <v>158</v>
      </c>
      <c r="B191" s="217" t="s">
        <v>69</v>
      </c>
      <c r="C191" s="217" t="s">
        <v>420</v>
      </c>
      <c r="D191" s="204" t="s">
        <v>98</v>
      </c>
      <c r="E191" s="172">
        <v>7</v>
      </c>
      <c r="F191" s="228"/>
      <c r="G191" s="229"/>
    </row>
    <row r="192" spans="1:7" ht="30" customHeight="1" x14ac:dyDescent="0.2">
      <c r="A192" s="230">
        <v>159</v>
      </c>
      <c r="B192" s="216" t="s">
        <v>346</v>
      </c>
      <c r="C192" s="217" t="s">
        <v>421</v>
      </c>
      <c r="D192" s="218" t="s">
        <v>98</v>
      </c>
      <c r="E192" s="172">
        <v>1</v>
      </c>
      <c r="F192" s="210"/>
      <c r="G192" s="211"/>
    </row>
    <row r="193" spans="1:7" ht="4.5" customHeight="1" x14ac:dyDescent="0.2">
      <c r="A193" s="205"/>
      <c r="B193" s="206"/>
      <c r="C193" s="234"/>
      <c r="D193" s="207"/>
      <c r="E193" s="235"/>
      <c r="F193" s="224"/>
      <c r="G193" s="225"/>
    </row>
    <row r="194" spans="1:7" ht="27" customHeight="1" x14ac:dyDescent="0.2">
      <c r="A194" s="278" t="s">
        <v>435</v>
      </c>
      <c r="B194" s="279"/>
      <c r="C194" s="279"/>
      <c r="D194" s="279"/>
      <c r="E194" s="280"/>
      <c r="F194" s="199"/>
      <c r="G194" s="200"/>
    </row>
    <row r="195" spans="1:7" ht="27" customHeight="1" x14ac:dyDescent="0.2">
      <c r="A195" s="209">
        <v>160</v>
      </c>
      <c r="B195" s="202" t="s">
        <v>70</v>
      </c>
      <c r="C195" s="202" t="s">
        <v>199</v>
      </c>
      <c r="D195" s="204" t="s">
        <v>98</v>
      </c>
      <c r="E195" s="262">
        <f>+IF(E196&lt;&gt;"-",VALUE(E196),)+IF(E197&lt;&gt;"-",VALUE(E197),)+IF(E198&lt;&gt;"-",VALUE(E198),)+IF(E200&lt;&gt;"-",VALUE(E200),)++IF(E201&lt;&gt;"-",VALUE(E201),)+IF(E202&lt;&gt;"-",VALUE(E202),)+IF(E203&lt;&gt;"-",VALUE(E203),)</f>
        <v>6</v>
      </c>
      <c r="F195" s="210"/>
      <c r="G195" s="211"/>
    </row>
    <row r="196" spans="1:7" ht="27" customHeight="1" x14ac:dyDescent="0.2">
      <c r="A196" s="209">
        <v>161</v>
      </c>
      <c r="B196" s="202" t="s">
        <v>71</v>
      </c>
      <c r="C196" s="202" t="s">
        <v>488</v>
      </c>
      <c r="D196" s="204" t="s">
        <v>98</v>
      </c>
      <c r="E196" s="172">
        <v>1</v>
      </c>
      <c r="F196" s="213"/>
      <c r="G196" s="214"/>
    </row>
    <row r="197" spans="1:7" ht="27" customHeight="1" x14ac:dyDescent="0.2">
      <c r="A197" s="209">
        <v>162</v>
      </c>
      <c r="B197" s="202" t="s">
        <v>72</v>
      </c>
      <c r="C197" s="202" t="s">
        <v>489</v>
      </c>
      <c r="D197" s="204" t="s">
        <v>98</v>
      </c>
      <c r="E197" s="172">
        <v>1</v>
      </c>
      <c r="F197" s="213"/>
      <c r="G197" s="214"/>
    </row>
    <row r="198" spans="1:7" ht="27" customHeight="1" x14ac:dyDescent="0.2">
      <c r="A198" s="209">
        <v>163</v>
      </c>
      <c r="B198" s="202" t="s">
        <v>73</v>
      </c>
      <c r="C198" s="202" t="s">
        <v>490</v>
      </c>
      <c r="D198" s="204" t="s">
        <v>98</v>
      </c>
      <c r="E198" s="172">
        <v>0</v>
      </c>
      <c r="F198" s="213"/>
      <c r="G198" s="214"/>
    </row>
    <row r="199" spans="1:7" ht="27" hidden="1" customHeight="1" x14ac:dyDescent="0.2">
      <c r="A199" s="209">
        <v>164</v>
      </c>
      <c r="B199" s="202" t="s">
        <v>74</v>
      </c>
      <c r="C199" s="202" t="s">
        <v>491</v>
      </c>
      <c r="D199" s="204" t="s">
        <v>98</v>
      </c>
      <c r="E199" s="181">
        <v>122</v>
      </c>
      <c r="F199" s="213"/>
      <c r="G199" s="214"/>
    </row>
    <row r="200" spans="1:7" ht="27" customHeight="1" x14ac:dyDescent="0.2">
      <c r="A200" s="209">
        <v>165</v>
      </c>
      <c r="B200" s="217" t="s">
        <v>394</v>
      </c>
      <c r="C200" s="217" t="s">
        <v>492</v>
      </c>
      <c r="D200" s="218" t="s">
        <v>98</v>
      </c>
      <c r="E200" s="172">
        <v>3</v>
      </c>
      <c r="F200" s="210"/>
      <c r="G200" s="211"/>
    </row>
    <row r="201" spans="1:7" ht="27" customHeight="1" x14ac:dyDescent="0.2">
      <c r="A201" s="209">
        <v>166</v>
      </c>
      <c r="B201" s="217" t="s">
        <v>413</v>
      </c>
      <c r="C201" s="217" t="s">
        <v>493</v>
      </c>
      <c r="D201" s="218" t="s">
        <v>98</v>
      </c>
      <c r="E201" s="172">
        <v>0</v>
      </c>
      <c r="F201" s="210"/>
      <c r="G201" s="211"/>
    </row>
    <row r="202" spans="1:7" ht="27" customHeight="1" x14ac:dyDescent="0.2">
      <c r="A202" s="209">
        <v>167</v>
      </c>
      <c r="B202" s="202" t="s">
        <v>75</v>
      </c>
      <c r="C202" s="202" t="s">
        <v>494</v>
      </c>
      <c r="D202" s="204" t="s">
        <v>98</v>
      </c>
      <c r="E202" s="172">
        <v>1</v>
      </c>
      <c r="F202" s="213"/>
      <c r="G202" s="214"/>
    </row>
    <row r="203" spans="1:7" ht="27" customHeight="1" x14ac:dyDescent="0.2">
      <c r="A203" s="209">
        <v>168</v>
      </c>
      <c r="B203" s="202" t="s">
        <v>76</v>
      </c>
      <c r="C203" s="202" t="s">
        <v>495</v>
      </c>
      <c r="D203" s="204" t="s">
        <v>98</v>
      </c>
      <c r="E203" s="172">
        <v>0</v>
      </c>
      <c r="F203" s="213"/>
      <c r="G203" s="214"/>
    </row>
    <row r="204" spans="1:7" ht="4.5" customHeight="1" x14ac:dyDescent="0.2">
      <c r="A204" s="205"/>
      <c r="B204" s="206"/>
      <c r="C204" s="234"/>
      <c r="D204" s="207"/>
      <c r="E204" s="235"/>
      <c r="F204" s="224"/>
      <c r="G204" s="225"/>
    </row>
    <row r="205" spans="1:7" ht="27" customHeight="1" x14ac:dyDescent="0.2">
      <c r="A205" s="278" t="s">
        <v>496</v>
      </c>
      <c r="B205" s="279"/>
      <c r="C205" s="279"/>
      <c r="D205" s="279"/>
      <c r="E205" s="280"/>
      <c r="F205" s="199"/>
      <c r="G205" s="200"/>
    </row>
    <row r="206" spans="1:7" ht="27" hidden="1" customHeight="1" x14ac:dyDescent="0.2">
      <c r="A206" s="236">
        <v>169</v>
      </c>
      <c r="B206" s="237" t="s">
        <v>77</v>
      </c>
      <c r="C206" s="237" t="s">
        <v>309</v>
      </c>
      <c r="D206" s="238" t="s">
        <v>190</v>
      </c>
      <c r="E206" s="239" t="str">
        <f>IF(SUM(E213:E214)+IF(AND(E207&gt;0,ISNUMBER(E207)),E207,0)+IF(AND(E208&gt;0,ISNUMBER(E208)),E208,0)+IF(AND(E209&gt;0,ISNUMBER(E209)),E209,0)&gt;E212,SUM(E213:E214)+IF(AND(E207&gt;0,ISNUMBER(E207)),E207,0)+IF(AND(E208&gt;0,ISNUMBER(E208)),E208,0)+IF(AND(E209&gt;0,ISNUMBER(E209)),E209,0),"-")</f>
        <v>-</v>
      </c>
      <c r="F206" s="210"/>
      <c r="G206" s="211"/>
    </row>
    <row r="207" spans="1:7" ht="27" hidden="1" customHeight="1" x14ac:dyDescent="0.2">
      <c r="A207" s="236">
        <v>170</v>
      </c>
      <c r="B207" s="237" t="s">
        <v>80</v>
      </c>
      <c r="C207" s="237" t="s">
        <v>264</v>
      </c>
      <c r="D207" s="238" t="s">
        <v>190</v>
      </c>
      <c r="E207" s="240"/>
      <c r="F207" s="213"/>
      <c r="G207" s="214"/>
    </row>
    <row r="208" spans="1:7" ht="27" hidden="1" customHeight="1" x14ac:dyDescent="0.2">
      <c r="A208" s="236">
        <v>171</v>
      </c>
      <c r="B208" s="237" t="s">
        <v>268</v>
      </c>
      <c r="C208" s="237" t="s">
        <v>306</v>
      </c>
      <c r="D208" s="238" t="s">
        <v>190</v>
      </c>
      <c r="E208" s="239"/>
      <c r="F208" s="210"/>
      <c r="G208" s="211"/>
    </row>
    <row r="209" spans="1:7" ht="27" hidden="1" customHeight="1" x14ac:dyDescent="0.2">
      <c r="A209" s="236">
        <v>172</v>
      </c>
      <c r="B209" s="237" t="s">
        <v>81</v>
      </c>
      <c r="C209" s="237" t="s">
        <v>267</v>
      </c>
      <c r="D209" s="238" t="s">
        <v>190</v>
      </c>
      <c r="E209" s="239">
        <f>(IF(AND(ISNUMBER($E$260),$E$260&gt;0),$E$260,0)*IF(AND(ISNUMBER($E$264),$E$264&gt;0),$E$264,$E$269)
+IF(AND(ISNUMBER($E$261),$E$261&gt;0),$E$261,0)*IF(AND(ISNUMBER($E$265),$E$265&gt;0),$E$265,$E$270))*2.5/60*IF(AND(ISNUMBER($E$251),$E$251&gt;0),$E$254/$E$251,0)*IF(ISNUMBER($E$210),$E$210,0)
+(IF(ISNUMBER($E$266),$E$266,$E$271)*IF(AND(ISNUMBER($E$255),ISNUMBER($E$252),$E$252&gt;0),$E$255/$E$252,0)*2.15/60)*IF(ISNUMBER($E$211),$E$211,0)</f>
        <v>0</v>
      </c>
      <c r="F209" s="210"/>
      <c r="G209" s="211"/>
    </row>
    <row r="210" spans="1:7" ht="30" hidden="1" customHeight="1" x14ac:dyDescent="0.2">
      <c r="A210" s="236">
        <v>173</v>
      </c>
      <c r="B210" s="237" t="s">
        <v>212</v>
      </c>
      <c r="C210" s="237" t="s">
        <v>265</v>
      </c>
      <c r="D210" s="238" t="s">
        <v>263</v>
      </c>
      <c r="E210" s="239"/>
      <c r="F210" s="210"/>
      <c r="G210" s="211"/>
    </row>
    <row r="211" spans="1:7" ht="30" hidden="1" customHeight="1" x14ac:dyDescent="0.2">
      <c r="A211" s="236">
        <v>174</v>
      </c>
      <c r="B211" s="237" t="s">
        <v>213</v>
      </c>
      <c r="C211" s="237" t="s">
        <v>266</v>
      </c>
      <c r="D211" s="238" t="s">
        <v>263</v>
      </c>
      <c r="E211" s="239"/>
      <c r="F211" s="210"/>
      <c r="G211" s="211"/>
    </row>
    <row r="212" spans="1:7" ht="27" customHeight="1" x14ac:dyDescent="0.2">
      <c r="A212" s="209">
        <v>175</v>
      </c>
      <c r="B212" s="202" t="s">
        <v>82</v>
      </c>
      <c r="C212" s="202" t="s">
        <v>504</v>
      </c>
      <c r="D212" s="204" t="s">
        <v>190</v>
      </c>
      <c r="E212" s="265">
        <f>SUM(E213:E214)+IF(AND(E215&gt;0,ISNUMBER(E215)),E215,0)+IF(AND(E216&gt;0,ISNUMBER(E216)),E216,0)+IF(AND(E217&gt;0,ISNUMBER(E217)),E217,0)</f>
        <v>16254815.727438847</v>
      </c>
      <c r="F212" s="210"/>
      <c r="G212" s="211"/>
    </row>
    <row r="213" spans="1:7" ht="27" customHeight="1" x14ac:dyDescent="0.2">
      <c r="A213" s="209">
        <v>176</v>
      </c>
      <c r="B213" s="202" t="s">
        <v>78</v>
      </c>
      <c r="C213" s="202" t="s">
        <v>436</v>
      </c>
      <c r="D213" s="204" t="s">
        <v>190</v>
      </c>
      <c r="E213" s="266">
        <f>IF(E107&gt;0,(IF(AND(ISNUMBER(E262),E262&gt;0),E262*E107,E267*E107)),0)</f>
        <v>14561904.761904761</v>
      </c>
      <c r="F213" s="210"/>
      <c r="G213" s="211"/>
    </row>
    <row r="214" spans="1:7" ht="27" customHeight="1" x14ac:dyDescent="0.2">
      <c r="A214" s="209">
        <v>177</v>
      </c>
      <c r="B214" s="202" t="s">
        <v>79</v>
      </c>
      <c r="C214" s="202" t="s">
        <v>437</v>
      </c>
      <c r="D214" s="204" t="s">
        <v>190</v>
      </c>
      <c r="E214" s="266">
        <f>IF(E27&gt;0,(IF(AND(ISNUMBER(E263),E263&gt;0),E263*E27,E268*E27)),0)</f>
        <v>971676.19047619053</v>
      </c>
      <c r="F214" s="210"/>
      <c r="G214" s="211"/>
    </row>
    <row r="215" spans="1:7" ht="30" customHeight="1" x14ac:dyDescent="0.2">
      <c r="A215" s="209">
        <v>178</v>
      </c>
      <c r="B215" s="202" t="s">
        <v>83</v>
      </c>
      <c r="C215" s="202" t="s">
        <v>438</v>
      </c>
      <c r="D215" s="204" t="s">
        <v>190</v>
      </c>
      <c r="E215" s="171">
        <v>473368</v>
      </c>
      <c r="F215" s="224"/>
      <c r="G215" s="225"/>
    </row>
    <row r="216" spans="1:7" ht="30" customHeight="1" x14ac:dyDescent="0.2">
      <c r="A216" s="209">
        <v>179</v>
      </c>
      <c r="B216" s="202" t="s">
        <v>308</v>
      </c>
      <c r="C216" s="202" t="s">
        <v>439</v>
      </c>
      <c r="D216" s="204" t="s">
        <v>190</v>
      </c>
      <c r="E216" s="171">
        <v>0</v>
      </c>
      <c r="F216" s="224"/>
      <c r="G216" s="225"/>
    </row>
    <row r="217" spans="1:7" ht="27" customHeight="1" x14ac:dyDescent="0.2">
      <c r="A217" s="209">
        <v>180</v>
      </c>
      <c r="B217" s="202" t="s">
        <v>84</v>
      </c>
      <c r="C217" s="202" t="s">
        <v>440</v>
      </c>
      <c r="D217" s="204" t="s">
        <v>190</v>
      </c>
      <c r="E217" s="267">
        <f>((IF(AND(ISNUMBER($E$260),$E$260&gt;0),$E$260,0)*IF(AND(ISNUMBER($E$264),$E$264&gt;0),$E$264,$E$269)
+IF(AND(ISNUMBER($E$261),$E$261&gt;0),$E$261,0)*IF(AND(ISNUMBER($E$265),$E$265&gt;0),$E$265,$E$270))*2.5/60*IF(AND(ISNUMBER($E$251),$E$251&gt;0),$E$254/$E$251,0)*IF(ISNUMBER($E$218),$E$218,0)
+(IF(ISNUMBER($E$266),$E$266,$E$271)*IF(AND(ISNUMBER($E$255),ISNUMBER($E$252),$E$252&gt;0),$E$255/$E$252,0)*2.15/60)*IF(ISNUMBER($E$219),$E$219,0))</f>
        <v>247866.77505789505</v>
      </c>
      <c r="F217" s="210"/>
      <c r="G217" s="211"/>
    </row>
    <row r="218" spans="1:7" ht="30" customHeight="1" x14ac:dyDescent="0.2">
      <c r="A218" s="209">
        <v>181</v>
      </c>
      <c r="B218" s="202" t="s">
        <v>269</v>
      </c>
      <c r="C218" s="202" t="s">
        <v>441</v>
      </c>
      <c r="D218" s="204" t="s">
        <v>263</v>
      </c>
      <c r="E218" s="171">
        <v>2098</v>
      </c>
      <c r="F218" s="210"/>
      <c r="G218" s="211"/>
    </row>
    <row r="219" spans="1:7" ht="30" customHeight="1" x14ac:dyDescent="0.2">
      <c r="A219" s="209">
        <v>182</v>
      </c>
      <c r="B219" s="202" t="s">
        <v>307</v>
      </c>
      <c r="C219" s="202" t="s">
        <v>442</v>
      </c>
      <c r="D219" s="204" t="s">
        <v>263</v>
      </c>
      <c r="E219" s="171">
        <v>5234</v>
      </c>
      <c r="F219" s="210"/>
      <c r="G219" s="211"/>
    </row>
    <row r="220" spans="1:7" ht="4.5" customHeight="1" x14ac:dyDescent="0.2">
      <c r="A220" s="205"/>
      <c r="B220" s="206"/>
      <c r="C220" s="234"/>
      <c r="D220" s="207"/>
      <c r="E220" s="235"/>
      <c r="F220" s="224"/>
      <c r="G220" s="225"/>
    </row>
    <row r="221" spans="1:7" ht="27" customHeight="1" x14ac:dyDescent="0.2">
      <c r="A221" s="278" t="s">
        <v>444</v>
      </c>
      <c r="B221" s="279"/>
      <c r="C221" s="279"/>
      <c r="D221" s="279"/>
      <c r="E221" s="280"/>
      <c r="F221" s="199"/>
      <c r="G221" s="200"/>
    </row>
    <row r="222" spans="1:7" ht="27" customHeight="1" x14ac:dyDescent="0.2">
      <c r="A222" s="278" t="s">
        <v>443</v>
      </c>
      <c r="B222" s="279"/>
      <c r="C222" s="279"/>
      <c r="D222" s="279"/>
      <c r="E222" s="280"/>
      <c r="F222" s="199"/>
      <c r="G222" s="200"/>
    </row>
    <row r="223" spans="1:7" ht="27" customHeight="1" x14ac:dyDescent="0.2">
      <c r="A223" s="215">
        <v>183</v>
      </c>
      <c r="B223" s="219" t="s">
        <v>401</v>
      </c>
      <c r="C223" s="219" t="s">
        <v>395</v>
      </c>
      <c r="D223" s="218" t="s">
        <v>189</v>
      </c>
      <c r="E223" s="169">
        <v>0</v>
      </c>
      <c r="F223" s="210"/>
      <c r="G223" s="211"/>
    </row>
    <row r="224" spans="1:7" ht="27" customHeight="1" x14ac:dyDescent="0.2">
      <c r="A224" s="215">
        <v>184</v>
      </c>
      <c r="B224" s="219" t="s">
        <v>402</v>
      </c>
      <c r="C224" s="219" t="s">
        <v>396</v>
      </c>
      <c r="D224" s="218" t="s">
        <v>189</v>
      </c>
      <c r="E224" s="169">
        <v>0.66</v>
      </c>
      <c r="F224" s="210"/>
      <c r="G224" s="211"/>
    </row>
    <row r="225" spans="1:7" ht="27" customHeight="1" x14ac:dyDescent="0.2">
      <c r="A225" s="215">
        <v>185</v>
      </c>
      <c r="B225" s="219" t="s">
        <v>403</v>
      </c>
      <c r="C225" s="219" t="s">
        <v>397</v>
      </c>
      <c r="D225" s="218" t="s">
        <v>189</v>
      </c>
      <c r="E225" s="169">
        <v>0</v>
      </c>
      <c r="F225" s="210"/>
      <c r="G225" s="211"/>
    </row>
    <row r="226" spans="1:7" ht="27" customHeight="1" x14ac:dyDescent="0.2">
      <c r="A226" s="215">
        <v>186</v>
      </c>
      <c r="B226" s="217" t="s">
        <v>85</v>
      </c>
      <c r="C226" s="217" t="s">
        <v>61</v>
      </c>
      <c r="D226" s="218" t="s">
        <v>189</v>
      </c>
      <c r="E226" s="169">
        <v>0</v>
      </c>
      <c r="F226" s="241"/>
      <c r="G226" s="242"/>
    </row>
    <row r="227" spans="1:7" ht="27" customHeight="1" x14ac:dyDescent="0.2">
      <c r="A227" s="243">
        <v>187</v>
      </c>
      <c r="B227" s="219" t="s">
        <v>404</v>
      </c>
      <c r="C227" s="219" t="s">
        <v>398</v>
      </c>
      <c r="D227" s="218" t="s">
        <v>189</v>
      </c>
      <c r="E227" s="169">
        <v>0</v>
      </c>
      <c r="F227" s="210"/>
      <c r="G227" s="211"/>
    </row>
    <row r="228" spans="1:7" ht="27" customHeight="1" x14ac:dyDescent="0.2">
      <c r="A228" s="215">
        <v>188</v>
      </c>
      <c r="B228" s="219" t="s">
        <v>405</v>
      </c>
      <c r="C228" s="219" t="s">
        <v>399</v>
      </c>
      <c r="D228" s="218" t="s">
        <v>189</v>
      </c>
      <c r="E228" s="169">
        <v>0.96</v>
      </c>
      <c r="F228" s="210"/>
      <c r="G228" s="211"/>
    </row>
    <row r="229" spans="1:7" ht="27" customHeight="1" x14ac:dyDescent="0.2">
      <c r="A229" s="215">
        <v>189</v>
      </c>
      <c r="B229" s="219" t="s">
        <v>406</v>
      </c>
      <c r="C229" s="219" t="s">
        <v>400</v>
      </c>
      <c r="D229" s="218" t="s">
        <v>189</v>
      </c>
      <c r="E229" s="169">
        <v>0</v>
      </c>
      <c r="F229" s="210"/>
      <c r="G229" s="211"/>
    </row>
    <row r="230" spans="1:7" ht="27" customHeight="1" x14ac:dyDescent="0.2">
      <c r="A230" s="244">
        <v>190</v>
      </c>
      <c r="B230" s="217" t="s">
        <v>86</v>
      </c>
      <c r="C230" s="217" t="s">
        <v>59</v>
      </c>
      <c r="D230" s="218" t="s">
        <v>100</v>
      </c>
      <c r="E230" s="169">
        <v>0</v>
      </c>
      <c r="F230" s="241"/>
      <c r="G230" s="242"/>
    </row>
    <row r="231" spans="1:7" ht="27" customHeight="1" x14ac:dyDescent="0.2">
      <c r="A231" s="286" t="s">
        <v>445</v>
      </c>
      <c r="B231" s="287"/>
      <c r="C231" s="287"/>
      <c r="D231" s="287"/>
      <c r="E231" s="288"/>
      <c r="F231" s="199"/>
      <c r="G231" s="200"/>
    </row>
    <row r="232" spans="1:7" ht="27" customHeight="1" x14ac:dyDescent="0.2">
      <c r="A232" s="209">
        <v>191</v>
      </c>
      <c r="B232" s="245" t="s">
        <v>87</v>
      </c>
      <c r="C232" s="245" t="s">
        <v>202</v>
      </c>
      <c r="D232" s="246" t="s">
        <v>98</v>
      </c>
      <c r="E232" s="268">
        <f>+IF(E233&lt;&gt;"-",VALUE(E233),)+IF(E243&lt;&gt;"-",VALUE(E243),)</f>
        <v>680</v>
      </c>
      <c r="F232" s="210"/>
      <c r="G232" s="211"/>
    </row>
    <row r="233" spans="1:7" ht="27" customHeight="1" x14ac:dyDescent="0.2">
      <c r="A233" s="209">
        <v>192</v>
      </c>
      <c r="B233" s="202" t="s">
        <v>214</v>
      </c>
      <c r="C233" s="202" t="s">
        <v>446</v>
      </c>
      <c r="D233" s="246" t="s">
        <v>98</v>
      </c>
      <c r="E233" s="262">
        <f>+IF(E234&lt;&gt;"-",VALUE(E234),)+IF(E235&lt;&gt;"-",VALUE(E235),)+IF(E238&lt;&gt;"-",VALUE(E238),)+IF(E239&lt;&gt;"-",VALUE(E239),)</f>
        <v>507</v>
      </c>
      <c r="F233" s="210"/>
      <c r="G233" s="211"/>
    </row>
    <row r="234" spans="1:7" ht="27" customHeight="1" x14ac:dyDescent="0.2">
      <c r="A234" s="209">
        <v>193</v>
      </c>
      <c r="B234" s="202" t="s">
        <v>215</v>
      </c>
      <c r="C234" s="247" t="s">
        <v>229</v>
      </c>
      <c r="D234" s="246" t="s">
        <v>98</v>
      </c>
      <c r="E234" s="172">
        <v>396</v>
      </c>
      <c r="F234" s="210"/>
    </row>
    <row r="235" spans="1:7" ht="27" customHeight="1" x14ac:dyDescent="0.2">
      <c r="A235" s="215">
        <v>194</v>
      </c>
      <c r="B235" s="217" t="s">
        <v>412</v>
      </c>
      <c r="C235" s="217" t="s">
        <v>503</v>
      </c>
      <c r="D235" s="218" t="s">
        <v>98</v>
      </c>
      <c r="E235" s="172">
        <v>71</v>
      </c>
      <c r="F235" s="213"/>
      <c r="G235" s="211"/>
    </row>
    <row r="236" spans="1:7" ht="27" hidden="1" customHeight="1" x14ac:dyDescent="0.2">
      <c r="A236" s="236">
        <v>195</v>
      </c>
      <c r="B236" s="237" t="s">
        <v>216</v>
      </c>
      <c r="C236" s="237" t="s">
        <v>502</v>
      </c>
      <c r="D236" s="238" t="s">
        <v>98</v>
      </c>
      <c r="E236" s="172">
        <v>0</v>
      </c>
      <c r="F236" s="210"/>
      <c r="G236" s="211"/>
    </row>
    <row r="237" spans="1:7" ht="27" hidden="1" customHeight="1" x14ac:dyDescent="0.2">
      <c r="A237" s="236">
        <v>196</v>
      </c>
      <c r="B237" s="237" t="s">
        <v>217</v>
      </c>
      <c r="C237" s="237" t="s">
        <v>450</v>
      </c>
      <c r="D237" s="238" t="s">
        <v>98</v>
      </c>
      <c r="E237" s="172">
        <v>0</v>
      </c>
      <c r="F237" s="210"/>
      <c r="G237" s="211"/>
    </row>
    <row r="238" spans="1:7" ht="27" customHeight="1" x14ac:dyDescent="0.2">
      <c r="A238" s="209">
        <v>197</v>
      </c>
      <c r="B238" s="202" t="s">
        <v>218</v>
      </c>
      <c r="C238" s="247" t="s">
        <v>228</v>
      </c>
      <c r="D238" s="246" t="s">
        <v>98</v>
      </c>
      <c r="E238" s="172">
        <v>0</v>
      </c>
      <c r="F238" s="210"/>
      <c r="G238" s="211"/>
    </row>
    <row r="239" spans="1:7" ht="27" customHeight="1" x14ac:dyDescent="0.2">
      <c r="A239" s="215">
        <v>198</v>
      </c>
      <c r="B239" s="217" t="s">
        <v>223</v>
      </c>
      <c r="C239" s="247" t="s">
        <v>407</v>
      </c>
      <c r="D239" s="218" t="s">
        <v>98</v>
      </c>
      <c r="E239" s="172">
        <v>40</v>
      </c>
      <c r="F239" s="213"/>
      <c r="G239" s="211"/>
    </row>
    <row r="240" spans="1:7" ht="27" hidden="1" customHeight="1" x14ac:dyDescent="0.2">
      <c r="A240" s="236">
        <v>199</v>
      </c>
      <c r="B240" s="237" t="s">
        <v>219</v>
      </c>
      <c r="C240" s="237" t="s">
        <v>457</v>
      </c>
      <c r="D240" s="238" t="s">
        <v>98</v>
      </c>
      <c r="E240" s="172">
        <v>0</v>
      </c>
      <c r="F240" s="210"/>
      <c r="G240" s="211"/>
    </row>
    <row r="241" spans="1:7" ht="27" hidden="1" customHeight="1" x14ac:dyDescent="0.2">
      <c r="A241" s="236">
        <v>200</v>
      </c>
      <c r="B241" s="237" t="s">
        <v>220</v>
      </c>
      <c r="C241" s="237" t="s">
        <v>458</v>
      </c>
      <c r="D241" s="238" t="s">
        <v>98</v>
      </c>
      <c r="E241" s="172">
        <v>0</v>
      </c>
      <c r="F241" s="210"/>
      <c r="G241" s="211"/>
    </row>
    <row r="242" spans="1:7" ht="27" hidden="1" customHeight="1" x14ac:dyDescent="0.2">
      <c r="A242" s="236">
        <v>201</v>
      </c>
      <c r="B242" s="237" t="s">
        <v>221</v>
      </c>
      <c r="C242" s="237" t="s">
        <v>459</v>
      </c>
      <c r="D242" s="238" t="s">
        <v>98</v>
      </c>
      <c r="E242" s="172">
        <v>0</v>
      </c>
      <c r="F242" s="210"/>
      <c r="G242" s="211"/>
    </row>
    <row r="243" spans="1:7" ht="27" customHeight="1" x14ac:dyDescent="0.2">
      <c r="A243" s="209">
        <v>202</v>
      </c>
      <c r="B243" s="202" t="s">
        <v>222</v>
      </c>
      <c r="C243" s="202" t="s">
        <v>447</v>
      </c>
      <c r="D243" s="246" t="s">
        <v>98</v>
      </c>
      <c r="E243" s="172">
        <v>173</v>
      </c>
      <c r="F243" s="210"/>
      <c r="G243" s="211"/>
    </row>
    <row r="244" spans="1:7" ht="5.25" hidden="1" customHeight="1" x14ac:dyDescent="0.2">
      <c r="A244" s="205"/>
      <c r="B244" s="206"/>
      <c r="C244" s="234"/>
      <c r="D244" s="207"/>
      <c r="E244" s="235"/>
      <c r="F244" s="224"/>
      <c r="G244" s="225"/>
    </row>
    <row r="245" spans="1:7" ht="27" hidden="1" customHeight="1" x14ac:dyDescent="0.2">
      <c r="A245" s="278" t="s">
        <v>497</v>
      </c>
      <c r="B245" s="279"/>
      <c r="C245" s="279"/>
      <c r="D245" s="279"/>
      <c r="E245" s="280"/>
      <c r="F245" s="199"/>
      <c r="G245" s="200"/>
    </row>
    <row r="246" spans="1:7" ht="27" hidden="1" customHeight="1" x14ac:dyDescent="0.2">
      <c r="A246" s="236">
        <v>203</v>
      </c>
      <c r="B246" s="237" t="s">
        <v>88</v>
      </c>
      <c r="C246" s="237" t="s">
        <v>60</v>
      </c>
      <c r="D246" s="238" t="s">
        <v>98</v>
      </c>
      <c r="E246" s="212" t="s">
        <v>507</v>
      </c>
      <c r="F246" s="210"/>
      <c r="G246" s="211"/>
    </row>
    <row r="247" spans="1:7" ht="27" hidden="1" customHeight="1" x14ac:dyDescent="0.2">
      <c r="A247" s="236">
        <v>204</v>
      </c>
      <c r="B247" s="237" t="s">
        <v>89</v>
      </c>
      <c r="C247" s="237" t="s">
        <v>188</v>
      </c>
      <c r="D247" s="238" t="s">
        <v>100</v>
      </c>
      <c r="E247" s="212" t="s">
        <v>507</v>
      </c>
      <c r="F247" s="210"/>
      <c r="G247" s="211"/>
    </row>
    <row r="248" spans="1:7" ht="4.5" customHeight="1" x14ac:dyDescent="0.2">
      <c r="A248" s="205"/>
      <c r="B248" s="206"/>
      <c r="C248" s="234"/>
      <c r="D248" s="207"/>
      <c r="E248" s="235"/>
      <c r="F248" s="224"/>
      <c r="G248" s="225"/>
    </row>
    <row r="249" spans="1:7" ht="27" customHeight="1" x14ac:dyDescent="0.2">
      <c r="A249" s="278" t="s">
        <v>449</v>
      </c>
      <c r="B249" s="279"/>
      <c r="C249" s="279"/>
      <c r="D249" s="279"/>
      <c r="E249" s="280"/>
      <c r="F249" s="199"/>
      <c r="G249" s="200"/>
    </row>
    <row r="250" spans="1:7" ht="43.5" customHeight="1" x14ac:dyDescent="0.2">
      <c r="A250" s="209">
        <v>205</v>
      </c>
      <c r="B250" s="249" t="s">
        <v>90</v>
      </c>
      <c r="C250" s="245" t="s">
        <v>203</v>
      </c>
      <c r="D250" s="204" t="s">
        <v>498</v>
      </c>
      <c r="E250" s="269">
        <f>SUM(E251:E253)</f>
        <v>15.665000000000001</v>
      </c>
      <c r="F250" s="224"/>
      <c r="G250" s="225"/>
    </row>
    <row r="251" spans="1:7" ht="43.5" customHeight="1" x14ac:dyDescent="0.2">
      <c r="A251" s="209">
        <v>206</v>
      </c>
      <c r="B251" s="249" t="s">
        <v>204</v>
      </c>
      <c r="C251" s="245" t="s">
        <v>520</v>
      </c>
      <c r="D251" s="204" t="s">
        <v>498</v>
      </c>
      <c r="E251" s="14">
        <v>6.0274999999999999</v>
      </c>
      <c r="F251" s="224"/>
      <c r="G251" s="225"/>
    </row>
    <row r="252" spans="1:7" ht="43.5" customHeight="1" x14ac:dyDescent="0.2">
      <c r="A252" s="209">
        <v>207</v>
      </c>
      <c r="B252" s="249" t="s">
        <v>205</v>
      </c>
      <c r="C252" s="245" t="s">
        <v>521</v>
      </c>
      <c r="D252" s="204" t="s">
        <v>498</v>
      </c>
      <c r="E252" s="14">
        <v>8.4945000000000004</v>
      </c>
      <c r="F252" s="224"/>
      <c r="G252" s="225"/>
    </row>
    <row r="253" spans="1:7" ht="43.5" customHeight="1" x14ac:dyDescent="0.2">
      <c r="A253" s="209">
        <v>208</v>
      </c>
      <c r="B253" s="249" t="s">
        <v>331</v>
      </c>
      <c r="C253" s="245" t="s">
        <v>522</v>
      </c>
      <c r="D253" s="204" t="s">
        <v>498</v>
      </c>
      <c r="E253" s="14">
        <v>1.143</v>
      </c>
      <c r="F253" s="224"/>
      <c r="G253" s="225"/>
    </row>
    <row r="254" spans="1:7" ht="43.5" customHeight="1" x14ac:dyDescent="0.2">
      <c r="A254" s="209">
        <v>209</v>
      </c>
      <c r="B254" s="249" t="s">
        <v>91</v>
      </c>
      <c r="C254" s="245" t="s">
        <v>523</v>
      </c>
      <c r="D254" s="204" t="s">
        <v>499</v>
      </c>
      <c r="E254" s="14">
        <v>596</v>
      </c>
      <c r="F254" s="224"/>
      <c r="G254" s="225"/>
    </row>
    <row r="255" spans="1:7" ht="43.5" customHeight="1" x14ac:dyDescent="0.2">
      <c r="A255" s="209">
        <v>210</v>
      </c>
      <c r="B255" s="249" t="s">
        <v>206</v>
      </c>
      <c r="C255" s="245" t="s">
        <v>524</v>
      </c>
      <c r="D255" s="204" t="s">
        <v>500</v>
      </c>
      <c r="E255" s="14">
        <v>1501.4</v>
      </c>
      <c r="F255" s="224"/>
      <c r="G255" s="225"/>
    </row>
    <row r="256" spans="1:7" ht="43.5" customHeight="1" x14ac:dyDescent="0.2">
      <c r="A256" s="209">
        <v>211</v>
      </c>
      <c r="B256" s="249" t="s">
        <v>210</v>
      </c>
      <c r="C256" s="202" t="s">
        <v>525</v>
      </c>
      <c r="D256" s="204" t="s">
        <v>99</v>
      </c>
      <c r="E256" s="14">
        <v>1860</v>
      </c>
      <c r="F256" s="224"/>
      <c r="G256" s="225"/>
    </row>
    <row r="257" spans="1:7" ht="43.5" customHeight="1" x14ac:dyDescent="0.2">
      <c r="A257" s="209">
        <v>212</v>
      </c>
      <c r="B257" s="249" t="s">
        <v>92</v>
      </c>
      <c r="C257" s="202" t="s">
        <v>526</v>
      </c>
      <c r="D257" s="204" t="s">
        <v>99</v>
      </c>
      <c r="E257" s="14">
        <v>3319.51</v>
      </c>
      <c r="F257" s="224"/>
      <c r="G257" s="225"/>
    </row>
    <row r="258" spans="1:7" ht="5.25" customHeight="1" x14ac:dyDescent="0.2">
      <c r="A258" s="205"/>
      <c r="B258" s="206"/>
      <c r="C258" s="234"/>
      <c r="D258" s="207"/>
      <c r="E258" s="235"/>
      <c r="F258" s="224"/>
      <c r="G258" s="225"/>
    </row>
    <row r="259" spans="1:7" ht="27" customHeight="1" x14ac:dyDescent="0.2">
      <c r="A259" s="278" t="s">
        <v>448</v>
      </c>
      <c r="B259" s="279"/>
      <c r="C259" s="279"/>
      <c r="D259" s="279"/>
      <c r="E259" s="280"/>
      <c r="F259" s="199"/>
      <c r="G259" s="200"/>
    </row>
    <row r="260" spans="1:7" ht="27" customHeight="1" x14ac:dyDescent="0.2">
      <c r="A260" s="209">
        <v>213</v>
      </c>
      <c r="B260" s="249" t="s">
        <v>211</v>
      </c>
      <c r="C260" s="202" t="s">
        <v>234</v>
      </c>
      <c r="D260" s="204" t="s">
        <v>100</v>
      </c>
      <c r="E260" s="250">
        <v>0.25</v>
      </c>
      <c r="F260" s="251"/>
      <c r="G260" s="252"/>
    </row>
    <row r="261" spans="1:7" ht="27" customHeight="1" x14ac:dyDescent="0.2">
      <c r="A261" s="209">
        <v>214</v>
      </c>
      <c r="B261" s="249" t="s">
        <v>224</v>
      </c>
      <c r="C261" s="202" t="s">
        <v>236</v>
      </c>
      <c r="D261" s="204" t="s">
        <v>100</v>
      </c>
      <c r="E261" s="253">
        <f>IF(AND(E260&lt;&gt;"",ISNUMBER(E260)),1-E260,"-")</f>
        <v>0.75</v>
      </c>
      <c r="F261" s="251"/>
      <c r="G261" s="252"/>
    </row>
    <row r="262" spans="1:7" ht="27" customHeight="1" x14ac:dyDescent="0.2">
      <c r="A262" s="209">
        <v>215</v>
      </c>
      <c r="B262" s="249" t="s">
        <v>225</v>
      </c>
      <c r="C262" s="202" t="s">
        <v>230</v>
      </c>
      <c r="D262" s="204" t="s">
        <v>190</v>
      </c>
      <c r="E262" s="14"/>
      <c r="F262" s="224"/>
      <c r="G262" s="225"/>
    </row>
    <row r="263" spans="1:7" ht="27" customHeight="1" x14ac:dyDescent="0.2">
      <c r="A263" s="209">
        <v>216</v>
      </c>
      <c r="B263" s="249" t="s">
        <v>252</v>
      </c>
      <c r="C263" s="202" t="s">
        <v>200</v>
      </c>
      <c r="D263" s="204" t="s">
        <v>190</v>
      </c>
      <c r="E263" s="14"/>
      <c r="F263" s="224"/>
      <c r="G263" s="225"/>
    </row>
    <row r="264" spans="1:7" ht="27" customHeight="1" x14ac:dyDescent="0.2">
      <c r="A264" s="209">
        <v>217</v>
      </c>
      <c r="B264" s="249" t="s">
        <v>253</v>
      </c>
      <c r="C264" s="202" t="s">
        <v>260</v>
      </c>
      <c r="D264" s="204" t="s">
        <v>190</v>
      </c>
      <c r="E264" s="14"/>
      <c r="F264" s="224"/>
      <c r="G264" s="225"/>
    </row>
    <row r="265" spans="1:7" ht="27" customHeight="1" x14ac:dyDescent="0.2">
      <c r="A265" s="209">
        <v>218</v>
      </c>
      <c r="B265" s="249" t="s">
        <v>254</v>
      </c>
      <c r="C265" s="202" t="s">
        <v>259</v>
      </c>
      <c r="D265" s="204" t="s">
        <v>190</v>
      </c>
      <c r="E265" s="14"/>
      <c r="F265" s="224"/>
      <c r="G265" s="225"/>
    </row>
    <row r="266" spans="1:7" ht="27" customHeight="1" x14ac:dyDescent="0.2">
      <c r="A266" s="209">
        <v>219</v>
      </c>
      <c r="B266" s="249" t="s">
        <v>255</v>
      </c>
      <c r="C266" s="202" t="s">
        <v>270</v>
      </c>
      <c r="D266" s="204" t="s">
        <v>190</v>
      </c>
      <c r="E266" s="14"/>
      <c r="F266" s="224"/>
      <c r="G266" s="225"/>
    </row>
    <row r="267" spans="1:7" ht="27" customHeight="1" x14ac:dyDescent="0.2">
      <c r="A267" s="209">
        <v>220</v>
      </c>
      <c r="B267" s="249" t="s">
        <v>256</v>
      </c>
      <c r="C267" s="202" t="s">
        <v>226</v>
      </c>
      <c r="D267" s="204" t="s">
        <v>190</v>
      </c>
      <c r="E267" s="254">
        <f>VLOOKUP(E5,'Fallback values'!A10:T39,9,FALSE)*INDEX('Fallback values'!V9:AP39,MATCH('CSI data - simple'!E5,'Fallback values'!V9:V39,0),MATCH('CSI data - simple'!E6,'Fallback values'!V9:AP9,0)) / INDEX('Fallback values'!V9:AP39,MATCH('CSI data - simple'!E5,'Fallback values'!V9:V39,0),MATCH(2002,'Fallback values'!V9:AP9,0))</f>
        <v>910119.04761904757</v>
      </c>
      <c r="F267" s="255"/>
      <c r="G267" s="256"/>
    </row>
    <row r="268" spans="1:7" ht="27" customHeight="1" x14ac:dyDescent="0.2">
      <c r="A268" s="209">
        <v>221</v>
      </c>
      <c r="B268" s="249" t="s">
        <v>257</v>
      </c>
      <c r="C268" s="202" t="s">
        <v>227</v>
      </c>
      <c r="D268" s="204" t="s">
        <v>190</v>
      </c>
      <c r="E268" s="254">
        <f>VLOOKUP(E5,'Fallback values'!A10:T38,10,FALSE)*INDEX('Fallback values'!V9:AP39,MATCH('CSI data - simple'!E5,'Fallback values'!V9:V39,0),MATCH('CSI data - simple'!E6,'Fallback values'!V9:AP9,0)) / INDEX('Fallback values'!V9:AP39,MATCH('CSI data - simple'!E5,'Fallback values'!V9:V39,0),MATCH(2002,'Fallback values'!V9:AP9,0))</f>
        <v>121459.52380952382</v>
      </c>
      <c r="F268" s="255"/>
      <c r="G268" s="256"/>
    </row>
    <row r="269" spans="1:7" ht="27" customHeight="1" x14ac:dyDescent="0.2">
      <c r="A269" s="209">
        <v>222</v>
      </c>
      <c r="B269" s="249" t="s">
        <v>258</v>
      </c>
      <c r="C269" s="202" t="s">
        <v>261</v>
      </c>
      <c r="D269" s="204" t="s">
        <v>190</v>
      </c>
      <c r="E269" s="226">
        <f>VLOOKUP(E5,'Fallback values'!A10:T38,16,FALSE)*INDEX('Fallback values'!V9:AP39,MATCH('CSI data - simple'!E5,'Fallback values'!V9:V39,0),MATCH('CSI data - simple'!E6,'Fallback values'!V9:AP9,0)) / INDEX('Fallback values'!V9:AP39,MATCH('CSI data - simple'!E5,'Fallback values'!V9:V39,0),MATCH(2002,'Fallback values'!V9:AP9,0))</f>
        <v>38.820714285714288</v>
      </c>
      <c r="F269" s="255"/>
      <c r="G269" s="256"/>
    </row>
    <row r="270" spans="1:7" ht="27" customHeight="1" x14ac:dyDescent="0.2">
      <c r="A270" s="209">
        <v>223</v>
      </c>
      <c r="B270" s="249" t="s">
        <v>272</v>
      </c>
      <c r="C270" s="202" t="s">
        <v>262</v>
      </c>
      <c r="D270" s="204" t="s">
        <v>190</v>
      </c>
      <c r="E270" s="226">
        <f>E269/3</f>
        <v>12.940238095238096</v>
      </c>
      <c r="F270" s="255"/>
      <c r="G270" s="256"/>
    </row>
    <row r="271" spans="1:7" ht="27" customHeight="1" x14ac:dyDescent="0.2">
      <c r="A271" s="209">
        <v>224</v>
      </c>
      <c r="B271" s="249" t="s">
        <v>273</v>
      </c>
      <c r="C271" s="202" t="s">
        <v>271</v>
      </c>
      <c r="D271" s="204" t="s">
        <v>190</v>
      </c>
      <c r="E271" s="226">
        <f>VLOOKUP(E5,'Fallback values'!A10:T38,20,FALSE)*INDEX('Fallback values'!V9:AP39,MATCH('CSI data - simple'!E5,'Fallback values'!V9:V39,0),MATCH('CSI data - simple'!E6,'Fallback values'!V9:AP9,0)) / INDEX('Fallback values'!V9:AP39,MATCH('CSI data - simple'!E5,'Fallback values'!V9:V39,0),MATCH(2002,'Fallback values'!V9:AP9,0))</f>
        <v>2.4159523809523811</v>
      </c>
      <c r="F271" s="255"/>
      <c r="G271" s="256"/>
    </row>
  </sheetData>
  <sheetProtection password="DC17" sheet="1" selectLockedCells="1"/>
  <dataConsolidate/>
  <mergeCells count="32">
    <mergeCell ref="A221:E221"/>
    <mergeCell ref="A245:E245"/>
    <mergeCell ref="A249:E249"/>
    <mergeCell ref="A259:E259"/>
    <mergeCell ref="A222:E222"/>
    <mergeCell ref="A231:E231"/>
    <mergeCell ref="A106:E106"/>
    <mergeCell ref="A194:E194"/>
    <mergeCell ref="A205:E205"/>
    <mergeCell ref="A96:E96"/>
    <mergeCell ref="A87:E87"/>
    <mergeCell ref="A146:E146"/>
    <mergeCell ref="A156:E156"/>
    <mergeCell ref="A166:E166"/>
    <mergeCell ref="A175:E175"/>
    <mergeCell ref="A136:E136"/>
    <mergeCell ref="A25:E25"/>
    <mergeCell ref="A2:E2"/>
    <mergeCell ref="A4:E4"/>
    <mergeCell ref="A9:E9"/>
    <mergeCell ref="A190:E190"/>
    <mergeCell ref="A47:E47"/>
    <mergeCell ref="A57:E57"/>
    <mergeCell ref="A8:E8"/>
    <mergeCell ref="A67:E67"/>
    <mergeCell ref="A185:E185"/>
    <mergeCell ref="A26:E26"/>
    <mergeCell ref="A37:E37"/>
    <mergeCell ref="A116:E116"/>
    <mergeCell ref="A126:E126"/>
    <mergeCell ref="A77:E77"/>
    <mergeCell ref="A105:E105"/>
  </mergeCells>
  <conditionalFormatting sqref="C223:C225">
    <cfRule type="expression" dxfId="1" priority="14" stopIfTrue="1">
      <formula>#REF!=3</formula>
    </cfRule>
  </conditionalFormatting>
  <conditionalFormatting sqref="C227:C229">
    <cfRule type="expression" dxfId="0" priority="13" stopIfTrue="1">
      <formula>#REF!=3</formula>
    </cfRule>
  </conditionalFormatting>
  <dataValidations count="9">
    <dataValidation operator="greaterThan" allowBlank="1" errorTitle="Incorrect value" error="Please enter a value in Euro without decimals. If you do not have a value, enter -" promptTitle="No decimals" prompt="Please enter a positive value in Euro with no decimals._x000a__x000a_If you do not have a value, write -" sqref="E207:G207"/>
    <dataValidation type="whole" errorStyle="warning" operator="greaterThan" allowBlank="1" showErrorMessage="1" error="Whole number shall be provided." sqref="F12:F13">
      <formula1>0</formula1>
    </dataValidation>
    <dataValidation type="decimal" operator="lessThan" allowBlank="1" showErrorMessage="1" errorTitle="Wrong data input!" error="The number of line kilometers (R08) cannot be greater than the number of track kilometres (R03)." sqref="E256:G256">
      <formula1>E257</formula1>
    </dataValidation>
    <dataValidation type="decimal" operator="greaterThan" allowBlank="1" showErrorMessage="1" errorTitle="Wrong data input!" error="The number of track kilometres (R03) cannot be lower than the number of line kilometers (R08)" sqref="E257:G258">
      <formula1>E256</formula1>
    </dataValidation>
    <dataValidation errorStyle="warning" operator="greaterThan" allowBlank="1" showErrorMessage="1" error="Whole number shall be provided." sqref="E15:G15 E235:F235 E239:F239 E11:G11 E59:G59 E69:G69 E29:E35 F39:G39 E118:G118 E128:G128 E138:G138 E199:G199 E158:F158 F82:G86 E79:G79 E148:G148 E28:G28 E108:G108 F161:G165"/>
    <dataValidation type="decimal" operator="lessThan" allowBlank="1" showErrorMessage="1" errorTitle="Wrong data input!" error="The number of passenger train km (R05) cannot be greater than the  number of passenger kilometers (R02)." sqref="G251">
      <formula1>#REF!</formula1>
    </dataValidation>
    <dataValidation type="decimal" operator="lessThan" allowBlank="1" showErrorMessage="1" errorTitle="Wrong data input!" error="The number of passenger train km (R05) cannot be greater than the  number of passenger kilometers (R02)." sqref="E251:F251">
      <formula1>E254</formula1>
    </dataValidation>
    <dataValidation type="decimal" operator="greaterThan" allowBlank="1" showErrorMessage="1" errorTitle="Wrong data input!" error="The number of passenger kilometers (R02) must be greater than the number of passenger train kilometers (R05)." sqref="E254:F254">
      <formula1>E251</formula1>
    </dataValidation>
    <dataValidation type="whole" errorStyle="warning" operator="greaterThanOrEqual" allowBlank="1" showErrorMessage="1" error="Whole number shall be provided." sqref="E12:E13">
      <formula1>0</formula1>
    </dataValidation>
  </dataValidations>
  <printOptions horizontalCentered="1"/>
  <pageMargins left="0.31496062992125984" right="0.31496062992125984" top="0.25" bottom="0.36" header="0.2" footer="0.2"/>
  <pageSetup paperSize="9" scale="39" fitToHeight="0" orientation="portrait" r:id="rId1"/>
  <headerFooter alignWithMargins="0">
    <oddFooter>&amp;R&amp;12page &amp;P</oddFooter>
  </headerFooter>
  <rowBreaks count="1" manualBreakCount="1">
    <brk id="135" max="4" man="1"/>
  </rowBreaks>
  <ignoredErrors>
    <ignoredError sqref="E5:E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rule">
              <controlPr locked="0" defaultSize="0" autoLine="0" autoPict="0">
                <anchor moveWithCells="1">
                  <from>
                    <xdr:col>4</xdr:col>
                    <xdr:colOff>19050</xdr:colOff>
                    <xdr:row>4</xdr:row>
                    <xdr:rowOff>228600</xdr:rowOff>
                  </from>
                  <to>
                    <xdr:col>4</xdr:col>
                    <xdr:colOff>1447800</xdr:colOff>
                    <xdr:row>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locked="0" defaultSize="0" autoLine="0" autoPict="0">
                <anchor moveWithCells="1">
                  <from>
                    <xdr:col>4</xdr:col>
                    <xdr:colOff>19050</xdr:colOff>
                    <xdr:row>5</xdr:row>
                    <xdr:rowOff>66675</xdr:rowOff>
                  </from>
                  <to>
                    <xdr:col>4</xdr:col>
                    <xdr:colOff>1447800</xdr:colOff>
                    <xdr:row>5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2" tint="-9.9978637043366805E-2"/>
  </sheetPr>
  <dimension ref="A1:BU80"/>
  <sheetViews>
    <sheetView zoomScale="75" zoomScaleNormal="75" workbookViewId="0">
      <selection sqref="A1:XFD1048576"/>
    </sheetView>
  </sheetViews>
  <sheetFormatPr defaultRowHeight="12.75" x14ac:dyDescent="0.2"/>
  <cols>
    <col min="2" max="2" width="18" customWidth="1"/>
    <col min="3" max="3" width="13.42578125" bestFit="1" customWidth="1"/>
    <col min="4" max="8" width="9.28515625" bestFit="1" customWidth="1"/>
    <col min="9" max="9" width="10.28515625" bestFit="1" customWidth="1"/>
    <col min="10" max="10" width="9.42578125" bestFit="1" customWidth="1"/>
    <col min="11" max="11" width="9.28515625" bestFit="1" customWidth="1"/>
    <col min="12" max="12" width="2.85546875" style="22" customWidth="1"/>
    <col min="13" max="13" width="17" customWidth="1"/>
    <col min="17" max="17" width="3.140625" style="22" customWidth="1"/>
    <col min="18" max="18" width="15.7109375" customWidth="1"/>
    <col min="21" max="21" width="4.7109375" customWidth="1"/>
    <col min="23" max="23" width="15.7109375" customWidth="1"/>
    <col min="24" max="24" width="9.85546875" bestFit="1" customWidth="1"/>
    <col min="33" max="33" width="9.28515625" bestFit="1" customWidth="1"/>
    <col min="38" max="38" width="9.85546875" customWidth="1"/>
    <col min="39" max="39" width="9.85546875" style="153" customWidth="1"/>
    <col min="45" max="54" width="10.7109375" customWidth="1"/>
    <col min="55" max="55" width="13.42578125" style="153" customWidth="1"/>
    <col min="56" max="58" width="13.42578125" customWidth="1"/>
    <col min="59" max="59" width="16.7109375" customWidth="1"/>
    <col min="60" max="68" width="10.42578125" customWidth="1"/>
    <col min="70" max="70" width="13" style="272" customWidth="1"/>
  </cols>
  <sheetData>
    <row r="1" spans="1:73" ht="20.25" x14ac:dyDescent="0.3">
      <c r="A1" s="36" t="s">
        <v>301</v>
      </c>
    </row>
    <row r="2" spans="1:73" x14ac:dyDescent="0.2">
      <c r="A2" s="153" t="s">
        <v>335</v>
      </c>
    </row>
    <row r="3" spans="1:73" x14ac:dyDescent="0.2">
      <c r="A3" s="55" t="s">
        <v>334</v>
      </c>
    </row>
    <row r="4" spans="1:73" s="11" customFormat="1" x14ac:dyDescent="0.2">
      <c r="B4" s="38" t="s">
        <v>294</v>
      </c>
      <c r="L4" s="26"/>
      <c r="M4" s="38" t="s">
        <v>295</v>
      </c>
      <c r="Q4" s="26"/>
      <c r="R4" s="38" t="s">
        <v>296</v>
      </c>
      <c r="V4" s="38" t="s">
        <v>314</v>
      </c>
      <c r="BR4" s="272"/>
    </row>
    <row r="5" spans="1:73" s="37" customFormat="1" ht="15" x14ac:dyDescent="0.25">
      <c r="B5" s="39" t="s">
        <v>321</v>
      </c>
      <c r="M5" s="39" t="s">
        <v>322</v>
      </c>
      <c r="R5" s="39" t="s">
        <v>323</v>
      </c>
      <c r="V5" s="40" t="s">
        <v>315</v>
      </c>
      <c r="BR5" s="273"/>
    </row>
    <row r="6" spans="1:73" s="11" customFormat="1" ht="13.5" thickBot="1" x14ac:dyDescent="0.25">
      <c r="B6" s="38"/>
      <c r="L6" s="26"/>
      <c r="M6" s="38"/>
      <c r="Q6" s="26"/>
      <c r="R6" s="38"/>
      <c r="V6" s="38"/>
      <c r="BR6" s="272"/>
    </row>
    <row r="7" spans="1:73" ht="15.75" customHeight="1" thickBot="1" x14ac:dyDescent="0.25">
      <c r="B7" s="79"/>
      <c r="C7" s="292" t="s">
        <v>275</v>
      </c>
      <c r="D7" s="293"/>
      <c r="E7" s="293"/>
      <c r="F7" s="293" t="s">
        <v>276</v>
      </c>
      <c r="G7" s="293"/>
      <c r="H7" s="293"/>
      <c r="I7" s="293" t="s">
        <v>300</v>
      </c>
      <c r="J7" s="293"/>
      <c r="K7" s="294"/>
      <c r="L7" s="23"/>
      <c r="AR7" s="55" t="s">
        <v>278</v>
      </c>
      <c r="BH7" s="55" t="s">
        <v>336</v>
      </c>
    </row>
    <row r="8" spans="1:73" ht="25.5" customHeight="1" thickBot="1" x14ac:dyDescent="0.25">
      <c r="A8" s="33"/>
      <c r="B8" s="154" t="s">
        <v>343</v>
      </c>
      <c r="C8" s="75" t="s">
        <v>278</v>
      </c>
      <c r="D8" s="80" t="s">
        <v>285</v>
      </c>
      <c r="E8" s="76" t="s">
        <v>280</v>
      </c>
      <c r="F8" s="75" t="s">
        <v>278</v>
      </c>
      <c r="G8" s="75" t="s">
        <v>281</v>
      </c>
      <c r="H8" s="76" t="s">
        <v>280</v>
      </c>
      <c r="I8" s="75" t="s">
        <v>278</v>
      </c>
      <c r="J8" s="75" t="s">
        <v>281</v>
      </c>
      <c r="K8" s="77" t="s">
        <v>280</v>
      </c>
      <c r="L8" s="24"/>
      <c r="M8" s="81"/>
      <c r="N8" s="289" t="s">
        <v>287</v>
      </c>
      <c r="O8" s="290"/>
      <c r="P8" s="291"/>
      <c r="Q8" s="23"/>
      <c r="R8" s="88"/>
      <c r="S8" s="289" t="s">
        <v>290</v>
      </c>
      <c r="T8" s="291"/>
      <c r="U8" s="23"/>
      <c r="AG8" s="16"/>
      <c r="AH8" s="16"/>
      <c r="AI8" s="16"/>
      <c r="AJ8" s="16"/>
      <c r="AK8" s="16"/>
      <c r="AL8" s="16"/>
      <c r="AM8" s="277"/>
    </row>
    <row r="9" spans="1:73" ht="15.75" customHeight="1" thickBot="1" x14ac:dyDescent="0.25">
      <c r="A9" s="34" t="s">
        <v>320</v>
      </c>
      <c r="B9" s="78" t="s">
        <v>277</v>
      </c>
      <c r="C9" s="130"/>
      <c r="D9" s="130" t="s">
        <v>279</v>
      </c>
      <c r="E9" s="131" t="s">
        <v>286</v>
      </c>
      <c r="F9" s="130"/>
      <c r="G9" s="130" t="s">
        <v>279</v>
      </c>
      <c r="H9" s="132" t="s">
        <v>282</v>
      </c>
      <c r="I9" s="130"/>
      <c r="J9" s="130" t="s">
        <v>279</v>
      </c>
      <c r="K9" s="133" t="s">
        <v>282</v>
      </c>
      <c r="L9" s="24"/>
      <c r="M9" s="82" t="s">
        <v>277</v>
      </c>
      <c r="N9" s="83" t="s">
        <v>288</v>
      </c>
      <c r="O9" s="83" t="s">
        <v>289</v>
      </c>
      <c r="P9" s="84" t="s">
        <v>293</v>
      </c>
      <c r="Q9" s="23"/>
      <c r="R9" s="89" t="s">
        <v>277</v>
      </c>
      <c r="S9" s="83" t="s">
        <v>291</v>
      </c>
      <c r="T9" s="84" t="s">
        <v>292</v>
      </c>
      <c r="U9" s="23"/>
      <c r="V9" s="95" t="s">
        <v>320</v>
      </c>
      <c r="W9" s="41" t="s">
        <v>277</v>
      </c>
      <c r="X9" s="96">
        <v>2002</v>
      </c>
      <c r="Y9" s="97">
        <v>2003</v>
      </c>
      <c r="Z9" s="98">
        <v>2004</v>
      </c>
      <c r="AA9" s="98">
        <v>2005</v>
      </c>
      <c r="AB9" s="98">
        <v>2006</v>
      </c>
      <c r="AC9" s="98">
        <v>2007</v>
      </c>
      <c r="AD9" s="98">
        <v>2008</v>
      </c>
      <c r="AE9" s="98">
        <v>2009</v>
      </c>
      <c r="AF9" s="98">
        <v>2010</v>
      </c>
      <c r="AG9" s="98">
        <v>2011</v>
      </c>
      <c r="AH9" s="98">
        <v>2012</v>
      </c>
      <c r="AI9" s="98">
        <v>2013</v>
      </c>
      <c r="AJ9" s="98">
        <v>2014</v>
      </c>
      <c r="AK9" s="98">
        <v>2015</v>
      </c>
      <c r="AL9" s="98">
        <v>2016</v>
      </c>
      <c r="AM9" s="98">
        <v>2017</v>
      </c>
      <c r="AN9" s="98">
        <v>2018</v>
      </c>
      <c r="AO9" s="98">
        <v>2019</v>
      </c>
      <c r="AP9" s="99">
        <v>2020</v>
      </c>
      <c r="AR9" s="146"/>
      <c r="AS9" s="147">
        <v>2007</v>
      </c>
      <c r="AT9" s="147">
        <v>2008</v>
      </c>
      <c r="AU9" s="147">
        <v>2009</v>
      </c>
      <c r="AV9" s="147">
        <v>2010</v>
      </c>
      <c r="AW9" s="147">
        <v>2011</v>
      </c>
      <c r="AX9" s="147">
        <v>2012</v>
      </c>
      <c r="AY9" s="147">
        <v>2013</v>
      </c>
      <c r="AZ9" s="147">
        <v>2014</v>
      </c>
      <c r="BA9" s="147">
        <v>2015</v>
      </c>
      <c r="BB9" s="147">
        <v>2016</v>
      </c>
      <c r="BC9" s="147">
        <v>2017</v>
      </c>
      <c r="BD9" s="147">
        <v>2018</v>
      </c>
      <c r="BE9" s="147">
        <v>2019</v>
      </c>
      <c r="BF9" s="147">
        <v>2020</v>
      </c>
      <c r="BH9" s="147">
        <v>2007</v>
      </c>
      <c r="BI9" s="147">
        <v>2008</v>
      </c>
      <c r="BJ9" s="147">
        <v>2009</v>
      </c>
      <c r="BK9" s="147">
        <v>2010</v>
      </c>
      <c r="BL9" s="147">
        <v>2011</v>
      </c>
      <c r="BM9" s="147">
        <v>2012</v>
      </c>
      <c r="BN9" s="147">
        <v>2013</v>
      </c>
      <c r="BO9" s="147">
        <v>2014</v>
      </c>
      <c r="BP9" s="147">
        <v>2015</v>
      </c>
      <c r="BQ9" s="147">
        <v>2016</v>
      </c>
      <c r="BR9" s="147">
        <v>2017</v>
      </c>
      <c r="BS9" s="147">
        <v>2018</v>
      </c>
      <c r="BT9" s="147">
        <v>2019</v>
      </c>
      <c r="BU9" s="147">
        <v>2020</v>
      </c>
    </row>
    <row r="10" spans="1:73" ht="17.25" customHeight="1" x14ac:dyDescent="0.2">
      <c r="A10" s="10" t="s">
        <v>29</v>
      </c>
      <c r="B10" s="128" t="s">
        <v>1</v>
      </c>
      <c r="C10" s="135">
        <v>1600000</v>
      </c>
      <c r="D10" s="136">
        <v>208000</v>
      </c>
      <c r="E10" s="140">
        <v>16000</v>
      </c>
      <c r="F10" s="136">
        <v>160000</v>
      </c>
      <c r="G10" s="136">
        <v>32300</v>
      </c>
      <c r="H10" s="140">
        <v>3000</v>
      </c>
      <c r="I10" s="136">
        <v>1760000</v>
      </c>
      <c r="J10" s="136">
        <v>240300</v>
      </c>
      <c r="K10" s="143">
        <v>19000</v>
      </c>
      <c r="L10" s="24"/>
      <c r="M10" s="111" t="s">
        <v>1</v>
      </c>
      <c r="N10" s="112">
        <v>39.11</v>
      </c>
      <c r="O10" s="112">
        <v>22.79</v>
      </c>
      <c r="P10" s="113">
        <v>28.4</v>
      </c>
      <c r="Q10" s="23"/>
      <c r="R10" s="111" t="s">
        <v>1</v>
      </c>
      <c r="S10" s="112">
        <v>3.37</v>
      </c>
      <c r="T10" s="113">
        <v>1.38</v>
      </c>
      <c r="U10" s="32"/>
      <c r="V10" s="122" t="s">
        <v>29</v>
      </c>
      <c r="W10" s="123" t="s">
        <v>1</v>
      </c>
      <c r="X10" s="148">
        <v>27300</v>
      </c>
      <c r="Y10" s="124">
        <v>27700</v>
      </c>
      <c r="Z10" s="148">
        <v>28700</v>
      </c>
      <c r="AA10" s="148">
        <v>29800</v>
      </c>
      <c r="AB10" s="148">
        <v>31300</v>
      </c>
      <c r="AC10" s="148">
        <v>33000</v>
      </c>
      <c r="AD10" s="148">
        <v>35300</v>
      </c>
      <c r="AE10" s="148">
        <v>34500</v>
      </c>
      <c r="AF10" s="148">
        <v>35400</v>
      </c>
      <c r="AG10" s="148">
        <v>37000</v>
      </c>
      <c r="AH10" s="148">
        <v>37800</v>
      </c>
      <c r="AI10" s="148">
        <v>38200</v>
      </c>
      <c r="AJ10" s="148">
        <v>39000</v>
      </c>
      <c r="AK10" s="148">
        <v>39900</v>
      </c>
      <c r="AL10" s="148">
        <v>40400</v>
      </c>
      <c r="AM10" s="148">
        <v>42000</v>
      </c>
      <c r="AN10" s="125"/>
      <c r="AO10" s="125"/>
      <c r="AP10" s="126"/>
      <c r="AR10" s="57" t="s">
        <v>29</v>
      </c>
      <c r="AS10" s="134">
        <f t="shared" ref="AS10:AS38" si="0">AC10/$X10*$I10</f>
        <v>2127472.5274725272</v>
      </c>
      <c r="AT10" s="134">
        <f t="shared" ref="AT10:AT38" si="1">AD10/$X10*$I10</f>
        <v>2275750.9157509157</v>
      </c>
      <c r="AU10" s="134">
        <f t="shared" ref="AU10:AU38" si="2">AE10/$X10*$I10</f>
        <v>2224175.8241758239</v>
      </c>
      <c r="AV10" s="134">
        <f t="shared" ref="AV10:AV38" si="3">AF10/$X10*$I10</f>
        <v>2282197.8021978023</v>
      </c>
      <c r="AW10" s="134">
        <f t="shared" ref="AW10:AW38" si="4">AG10/$X10*$I10</f>
        <v>2385347.9853479853</v>
      </c>
      <c r="AX10" s="134">
        <f t="shared" ref="AX10:AX38" si="5">AH10/$X10*$I10</f>
        <v>2436923.076923077</v>
      </c>
      <c r="AY10" s="134">
        <f t="shared" ref="AY10:AY38" si="6">AI10/$X10*$I10</f>
        <v>2462710.6227106224</v>
      </c>
      <c r="AZ10" s="134">
        <f t="shared" ref="AZ10:AZ38" si="7">AJ10/$X10*$I10</f>
        <v>2514285.7142857146</v>
      </c>
      <c r="BA10" s="170">
        <v>2385347.9853479853</v>
      </c>
      <c r="BB10" s="134">
        <f>AL10/$X10*$I10</f>
        <v>2604542.1245421246</v>
      </c>
      <c r="BC10" s="276">
        <f>AM10/$X10*$I10</f>
        <v>2707692.307692308</v>
      </c>
      <c r="BD10" s="275"/>
      <c r="BE10" s="275"/>
      <c r="BF10" s="275"/>
      <c r="BH10" s="134">
        <f t="shared" ref="BH10:BH38" si="8">AC10/$X10*$J10</f>
        <v>290472.52747252746</v>
      </c>
      <c r="BI10" s="134">
        <f t="shared" ref="BI10:BI38" si="9">AD10/$X10*$J10</f>
        <v>310717.58241758245</v>
      </c>
      <c r="BJ10" s="134">
        <f t="shared" ref="BJ10:BJ38" si="10">AE10/$X10*$J10</f>
        <v>303675.82417582418</v>
      </c>
      <c r="BK10" s="134">
        <f t="shared" ref="BK10:BK38" si="11">AF10/$X10*$J10</f>
        <v>311597.80219780223</v>
      </c>
      <c r="BL10" s="134">
        <f t="shared" ref="BL10:BL38" si="12">AG10/$X10*$J10</f>
        <v>325681.31868131872</v>
      </c>
      <c r="BM10" s="134">
        <f t="shared" ref="BM10:BM38" si="13">AH10/$X10*$J10</f>
        <v>332723.07692307694</v>
      </c>
      <c r="BN10" s="134">
        <f t="shared" ref="BN10:BN38" si="14">AI10/$X10*$J10</f>
        <v>336243.95604395604</v>
      </c>
      <c r="BO10" s="134">
        <f t="shared" ref="BO10:BO38" si="15">AJ10/$X10*$J10</f>
        <v>343285.71428571432</v>
      </c>
      <c r="BP10" s="170">
        <v>325681.31868131872</v>
      </c>
      <c r="BQ10" s="134">
        <f>AL10/$X10*$J10</f>
        <v>355608.7912087912</v>
      </c>
      <c r="BR10" s="170">
        <f>AM10/$X10*$J10</f>
        <v>369692.30769230769</v>
      </c>
    </row>
    <row r="11" spans="1:73" ht="17.25" customHeight="1" x14ac:dyDescent="0.2">
      <c r="A11" s="10" t="s">
        <v>30</v>
      </c>
      <c r="B11" s="129" t="s">
        <v>2</v>
      </c>
      <c r="C11" s="137">
        <v>1490000</v>
      </c>
      <c r="D11" s="134">
        <v>194000</v>
      </c>
      <c r="E11" s="141">
        <v>14900</v>
      </c>
      <c r="F11" s="134">
        <v>149000</v>
      </c>
      <c r="G11" s="134">
        <v>55000</v>
      </c>
      <c r="H11" s="141">
        <v>1100</v>
      </c>
      <c r="I11" s="134">
        <v>1639000</v>
      </c>
      <c r="J11" s="134">
        <v>249000</v>
      </c>
      <c r="K11" s="144">
        <v>16000</v>
      </c>
      <c r="L11" s="24"/>
      <c r="M11" s="66" t="s">
        <v>2</v>
      </c>
      <c r="N11" s="63">
        <v>37.79</v>
      </c>
      <c r="O11" s="63">
        <v>22.03</v>
      </c>
      <c r="P11" s="67">
        <v>27.44</v>
      </c>
      <c r="Q11" s="23"/>
      <c r="R11" s="66" t="s">
        <v>2</v>
      </c>
      <c r="S11" s="63">
        <v>3.29</v>
      </c>
      <c r="T11" s="67">
        <v>1.35</v>
      </c>
      <c r="U11" s="32"/>
      <c r="V11" s="61" t="s">
        <v>30</v>
      </c>
      <c r="W11" s="60" t="s">
        <v>2</v>
      </c>
      <c r="X11" s="149">
        <v>26000</v>
      </c>
      <c r="Y11" s="101">
        <v>26600</v>
      </c>
      <c r="Z11" s="101">
        <v>28000</v>
      </c>
      <c r="AA11" s="101">
        <v>29000</v>
      </c>
      <c r="AB11" s="101">
        <v>30200</v>
      </c>
      <c r="AC11" s="101">
        <v>31600</v>
      </c>
      <c r="AD11" s="101">
        <v>33100</v>
      </c>
      <c r="AE11" s="101">
        <v>32300</v>
      </c>
      <c r="AF11" s="101">
        <v>33500</v>
      </c>
      <c r="AG11" s="101">
        <v>34500</v>
      </c>
      <c r="AH11" s="101">
        <v>35000</v>
      </c>
      <c r="AI11" s="101">
        <v>35300</v>
      </c>
      <c r="AJ11" s="101">
        <v>35800</v>
      </c>
      <c r="AK11" s="101">
        <v>36500</v>
      </c>
      <c r="AL11" s="101">
        <v>37400</v>
      </c>
      <c r="AM11" s="101">
        <v>38500</v>
      </c>
      <c r="AN11" s="101"/>
      <c r="AO11" s="101"/>
      <c r="AP11" s="127"/>
      <c r="AR11" s="56" t="s">
        <v>30</v>
      </c>
      <c r="AS11" s="134">
        <f t="shared" si="0"/>
        <v>1992015.3846153845</v>
      </c>
      <c r="AT11" s="134">
        <f t="shared" si="1"/>
        <v>2086573.0769230768</v>
      </c>
      <c r="AU11" s="134">
        <f t="shared" si="2"/>
        <v>2036142.3076923077</v>
      </c>
      <c r="AV11" s="134">
        <f t="shared" si="3"/>
        <v>2111788.4615384615</v>
      </c>
      <c r="AW11" s="134">
        <f t="shared" si="4"/>
        <v>2174826.923076923</v>
      </c>
      <c r="AX11" s="134">
        <f t="shared" si="5"/>
        <v>2206346.153846154</v>
      </c>
      <c r="AY11" s="134">
        <f t="shared" si="6"/>
        <v>2225257.6923076925</v>
      </c>
      <c r="AZ11" s="134">
        <f t="shared" si="7"/>
        <v>2256776.923076923</v>
      </c>
      <c r="BA11" s="170">
        <v>2174826.923076923</v>
      </c>
      <c r="BB11" s="134">
        <f t="shared" ref="BB11:BB40" si="16">AL11/$X11*$I11</f>
        <v>2357638.4615384615</v>
      </c>
      <c r="BC11" s="276">
        <f t="shared" ref="BC11:BC38" si="17">AM11/$X11*$I11</f>
        <v>2426980.7692307695</v>
      </c>
      <c r="BD11" s="275"/>
      <c r="BE11" s="275"/>
      <c r="BF11" s="275"/>
      <c r="BH11" s="134">
        <f t="shared" si="8"/>
        <v>302630.76923076919</v>
      </c>
      <c r="BI11" s="134">
        <f t="shared" si="9"/>
        <v>316996.15384615381</v>
      </c>
      <c r="BJ11" s="134">
        <f t="shared" si="10"/>
        <v>309334.61538461538</v>
      </c>
      <c r="BK11" s="134">
        <f t="shared" si="11"/>
        <v>320826.92307692312</v>
      </c>
      <c r="BL11" s="134">
        <f t="shared" si="12"/>
        <v>330403.84615384613</v>
      </c>
      <c r="BM11" s="134">
        <f t="shared" si="13"/>
        <v>335192.30769230775</v>
      </c>
      <c r="BN11" s="134">
        <f t="shared" si="14"/>
        <v>338065.38461538462</v>
      </c>
      <c r="BO11" s="134">
        <f t="shared" si="15"/>
        <v>342853.84615384613</v>
      </c>
      <c r="BP11" s="170">
        <v>330403.84615384613</v>
      </c>
      <c r="BQ11" s="134">
        <f t="shared" ref="BQ11:BQ38" si="18">AL11/$X11*$J11</f>
        <v>358176.92307692306</v>
      </c>
      <c r="BR11" s="170">
        <f t="shared" ref="BR11:BR38" si="19">AM11/$X11*$J11</f>
        <v>368711.5384615385</v>
      </c>
    </row>
    <row r="12" spans="1:73" ht="17.25" customHeight="1" x14ac:dyDescent="0.2">
      <c r="A12" s="55" t="s">
        <v>31</v>
      </c>
      <c r="B12" s="129" t="s">
        <v>3</v>
      </c>
      <c r="C12" s="137">
        <f>(C23+C36)/2</f>
        <v>340000</v>
      </c>
      <c r="D12" s="134">
        <f t="shared" ref="D12:K12" si="20">(D23+D36)/2</f>
        <v>44000</v>
      </c>
      <c r="E12" s="141">
        <f t="shared" si="20"/>
        <v>3400</v>
      </c>
      <c r="F12" s="134">
        <f t="shared" si="20"/>
        <v>34000</v>
      </c>
      <c r="G12" s="134">
        <f t="shared" si="20"/>
        <v>6550</v>
      </c>
      <c r="H12" s="141">
        <f t="shared" si="20"/>
        <v>250</v>
      </c>
      <c r="I12" s="134">
        <f t="shared" si="20"/>
        <v>374000</v>
      </c>
      <c r="J12" s="134">
        <f t="shared" si="20"/>
        <v>50550</v>
      </c>
      <c r="K12" s="144">
        <f t="shared" si="20"/>
        <v>3650</v>
      </c>
      <c r="L12" s="24"/>
      <c r="M12" s="66" t="s">
        <v>3</v>
      </c>
      <c r="N12" s="64">
        <f>AVERAGE(N23,N36)</f>
        <v>17.82</v>
      </c>
      <c r="O12" s="64">
        <f>AVERAGE(O23,O36)</f>
        <v>10.385</v>
      </c>
      <c r="P12" s="68">
        <f>AVERAGE(P23,P36)</f>
        <v>12.94</v>
      </c>
      <c r="Q12" s="23"/>
      <c r="R12" s="66" t="s">
        <v>3</v>
      </c>
      <c r="S12" s="64">
        <f>AVERAGE(S23,S36)</f>
        <v>1.925</v>
      </c>
      <c r="T12" s="68">
        <f>AVERAGE(T23,T36)</f>
        <v>0.79499999999999993</v>
      </c>
      <c r="U12" s="32"/>
      <c r="V12" s="90" t="s">
        <v>31</v>
      </c>
      <c r="W12" s="91" t="s">
        <v>3</v>
      </c>
      <c r="X12" s="150">
        <v>2200</v>
      </c>
      <c r="Y12" s="100">
        <v>2400</v>
      </c>
      <c r="Z12" s="100">
        <v>2600</v>
      </c>
      <c r="AA12" s="100">
        <v>3000</v>
      </c>
      <c r="AB12" s="100">
        <v>3400</v>
      </c>
      <c r="AC12" s="100">
        <v>4000</v>
      </c>
      <c r="AD12" s="100">
        <v>4900</v>
      </c>
      <c r="AE12" s="100">
        <v>4900</v>
      </c>
      <c r="AF12" s="100">
        <v>5100</v>
      </c>
      <c r="AG12" s="100">
        <v>5600</v>
      </c>
      <c r="AH12" s="100">
        <v>5700</v>
      </c>
      <c r="AI12" s="100">
        <v>5800</v>
      </c>
      <c r="AJ12" s="100">
        <v>5900</v>
      </c>
      <c r="AK12" s="100">
        <v>6300</v>
      </c>
      <c r="AL12" s="100">
        <v>6800</v>
      </c>
      <c r="AM12" s="100">
        <v>7100</v>
      </c>
      <c r="AN12" s="92"/>
      <c r="AO12" s="92"/>
      <c r="AP12" s="93"/>
      <c r="AR12" s="57" t="s">
        <v>31</v>
      </c>
      <c r="AS12" s="134">
        <f t="shared" si="0"/>
        <v>680000</v>
      </c>
      <c r="AT12" s="134">
        <f t="shared" si="1"/>
        <v>832999.99999999988</v>
      </c>
      <c r="AU12" s="134">
        <f t="shared" si="2"/>
        <v>832999.99999999988</v>
      </c>
      <c r="AV12" s="134">
        <f t="shared" si="3"/>
        <v>867000.00000000012</v>
      </c>
      <c r="AW12" s="134">
        <f t="shared" si="4"/>
        <v>952000</v>
      </c>
      <c r="AX12" s="134">
        <f t="shared" si="5"/>
        <v>969000</v>
      </c>
      <c r="AY12" s="134">
        <f t="shared" si="6"/>
        <v>986000</v>
      </c>
      <c r="AZ12" s="134">
        <f t="shared" si="7"/>
        <v>1002999.9999999999</v>
      </c>
      <c r="BA12" s="170">
        <v>935000</v>
      </c>
      <c r="BB12" s="134">
        <f t="shared" si="16"/>
        <v>1156000</v>
      </c>
      <c r="BC12" s="276">
        <f t="shared" si="17"/>
        <v>1207000</v>
      </c>
      <c r="BD12" s="275"/>
      <c r="BE12" s="275"/>
      <c r="BF12" s="275"/>
      <c r="BH12" s="134">
        <f t="shared" si="8"/>
        <v>91909.090909090912</v>
      </c>
      <c r="BI12" s="134">
        <f t="shared" si="9"/>
        <v>112588.63636363635</v>
      </c>
      <c r="BJ12" s="134">
        <f t="shared" si="10"/>
        <v>112588.63636363635</v>
      </c>
      <c r="BK12" s="134">
        <f t="shared" si="11"/>
        <v>117184.09090909091</v>
      </c>
      <c r="BL12" s="134">
        <f t="shared" si="12"/>
        <v>128672.72727272726</v>
      </c>
      <c r="BM12" s="134">
        <f t="shared" si="13"/>
        <v>130970.45454545454</v>
      </c>
      <c r="BN12" s="134">
        <f t="shared" si="14"/>
        <v>133268.18181818182</v>
      </c>
      <c r="BO12" s="134">
        <f t="shared" si="15"/>
        <v>135565.90909090909</v>
      </c>
      <c r="BP12" s="170">
        <v>126375</v>
      </c>
      <c r="BQ12" s="134">
        <f t="shared" si="18"/>
        <v>156245.45454545453</v>
      </c>
      <c r="BR12" s="170">
        <f t="shared" si="19"/>
        <v>163138.63636363635</v>
      </c>
    </row>
    <row r="13" spans="1:73" ht="17.25" customHeight="1" x14ac:dyDescent="0.2">
      <c r="A13" s="10" t="s">
        <v>195</v>
      </c>
      <c r="B13" s="129" t="s">
        <v>319</v>
      </c>
      <c r="C13" s="137">
        <f>AVERAGE(C21,C38)</f>
        <v>1560000</v>
      </c>
      <c r="D13" s="134">
        <f t="shared" ref="D13:K13" si="21">AVERAGE(D21,D38)</f>
        <v>203000</v>
      </c>
      <c r="E13" s="141">
        <f t="shared" si="21"/>
        <v>15600</v>
      </c>
      <c r="F13" s="134">
        <f t="shared" si="21"/>
        <v>156000</v>
      </c>
      <c r="G13" s="134">
        <f t="shared" si="21"/>
        <v>117900</v>
      </c>
      <c r="H13" s="141">
        <f t="shared" si="21"/>
        <v>2200</v>
      </c>
      <c r="I13" s="134">
        <f t="shared" si="21"/>
        <v>1716000</v>
      </c>
      <c r="J13" s="134">
        <f t="shared" si="21"/>
        <v>230450</v>
      </c>
      <c r="K13" s="144">
        <f t="shared" si="21"/>
        <v>17800</v>
      </c>
      <c r="L13" s="24"/>
      <c r="M13" s="66" t="s">
        <v>319</v>
      </c>
      <c r="N13" s="64">
        <f>AVERAGE(N21,N38)</f>
        <v>39.055</v>
      </c>
      <c r="O13" s="64">
        <f>AVERAGE(O21,O38)</f>
        <v>22.759999999999998</v>
      </c>
      <c r="P13" s="68">
        <f>AVERAGE(P21,P38)</f>
        <v>28.36</v>
      </c>
      <c r="Q13" s="23"/>
      <c r="R13" s="66" t="s">
        <v>319</v>
      </c>
      <c r="S13" s="64">
        <f>AVERAGE(S21,S38)</f>
        <v>3.37</v>
      </c>
      <c r="T13" s="68">
        <f>AVERAGE(T21,T38)</f>
        <v>1.38</v>
      </c>
      <c r="U13" s="32"/>
      <c r="V13" s="61" t="s">
        <v>195</v>
      </c>
      <c r="W13" s="60" t="s">
        <v>319</v>
      </c>
      <c r="X13" s="152">
        <f t="shared" ref="X13:AL13" si="22">AVERAGE(X21,X38)</f>
        <v>27000</v>
      </c>
      <c r="Y13" s="151">
        <f t="shared" si="22"/>
        <v>26750</v>
      </c>
      <c r="Z13" s="151">
        <f t="shared" si="22"/>
        <v>28200</v>
      </c>
      <c r="AA13" s="151">
        <f t="shared" si="22"/>
        <v>29150</v>
      </c>
      <c r="AB13" s="151">
        <f t="shared" si="22"/>
        <v>30550</v>
      </c>
      <c r="AC13" s="151">
        <f t="shared" si="22"/>
        <v>31900</v>
      </c>
      <c r="AD13" s="151">
        <f t="shared" si="22"/>
        <v>31450</v>
      </c>
      <c r="AE13" s="151">
        <f t="shared" si="22"/>
        <v>28750</v>
      </c>
      <c r="AF13" s="151">
        <f t="shared" si="22"/>
        <v>30000</v>
      </c>
      <c r="AG13" s="151">
        <f t="shared" si="22"/>
        <v>30650</v>
      </c>
      <c r="AH13" s="151">
        <f t="shared" si="22"/>
        <v>32200</v>
      </c>
      <c r="AI13" s="151">
        <f t="shared" si="22"/>
        <v>32150</v>
      </c>
      <c r="AJ13" s="151">
        <f t="shared" si="22"/>
        <v>33850</v>
      </c>
      <c r="AK13" s="151">
        <f t="shared" si="22"/>
        <v>36500</v>
      </c>
      <c r="AL13" s="151">
        <f t="shared" si="22"/>
        <v>34900</v>
      </c>
      <c r="AM13" s="151">
        <f>AVERAGE(AM21,AM38)</f>
        <v>34700</v>
      </c>
      <c r="AN13" s="101"/>
      <c r="AO13" s="101"/>
      <c r="AP13" s="127"/>
      <c r="AR13" s="56" t="s">
        <v>195</v>
      </c>
      <c r="AS13" s="134">
        <f t="shared" si="0"/>
        <v>2027422.2222222225</v>
      </c>
      <c r="AT13" s="134">
        <f t="shared" si="1"/>
        <v>1998822.222222222</v>
      </c>
      <c r="AU13" s="134">
        <f t="shared" si="2"/>
        <v>1827222.2222222222</v>
      </c>
      <c r="AV13" s="134">
        <f t="shared" si="3"/>
        <v>1906666.6666666667</v>
      </c>
      <c r="AW13" s="134">
        <f t="shared" si="4"/>
        <v>1947977.7777777775</v>
      </c>
      <c r="AX13" s="134">
        <f t="shared" si="5"/>
        <v>2046488.888888889</v>
      </c>
      <c r="AY13" s="134">
        <f t="shared" si="6"/>
        <v>2043311.111111111</v>
      </c>
      <c r="AZ13" s="134">
        <f t="shared" si="7"/>
        <v>2151355.5555555555</v>
      </c>
      <c r="BA13" s="170">
        <v>1935266.6666666667</v>
      </c>
      <c r="BB13" s="134">
        <f t="shared" si="16"/>
        <v>2218088.8888888885</v>
      </c>
      <c r="BC13" s="276">
        <f t="shared" si="17"/>
        <v>2205377.777777778</v>
      </c>
      <c r="BD13" s="275"/>
      <c r="BE13" s="275"/>
      <c r="BF13" s="275"/>
      <c r="BH13" s="134">
        <f t="shared" si="8"/>
        <v>272272.40740740742</v>
      </c>
      <c r="BI13" s="134">
        <f t="shared" si="9"/>
        <v>268431.57407407404</v>
      </c>
      <c r="BJ13" s="134">
        <f t="shared" si="10"/>
        <v>245386.5740740741</v>
      </c>
      <c r="BK13" s="134">
        <f t="shared" si="11"/>
        <v>256055.55555555556</v>
      </c>
      <c r="BL13" s="134">
        <f t="shared" si="12"/>
        <v>261603.4259259259</v>
      </c>
      <c r="BM13" s="134">
        <f t="shared" si="13"/>
        <v>274832.96296296298</v>
      </c>
      <c r="BN13" s="134">
        <f t="shared" si="14"/>
        <v>274406.20370370371</v>
      </c>
      <c r="BO13" s="134">
        <f t="shared" si="15"/>
        <v>288916.01851851854</v>
      </c>
      <c r="BP13" s="170">
        <v>259896.38888888888</v>
      </c>
      <c r="BQ13" s="134">
        <f t="shared" si="18"/>
        <v>297877.96296296292</v>
      </c>
      <c r="BR13" s="170">
        <f t="shared" si="19"/>
        <v>296170.92592592596</v>
      </c>
    </row>
    <row r="14" spans="1:73" ht="17.25" customHeight="1" x14ac:dyDescent="0.2">
      <c r="A14" s="10" t="s">
        <v>33</v>
      </c>
      <c r="B14" s="129" t="s">
        <v>5</v>
      </c>
      <c r="C14" s="137">
        <v>450000</v>
      </c>
      <c r="D14" s="134">
        <v>59000</v>
      </c>
      <c r="E14" s="141">
        <v>4500</v>
      </c>
      <c r="F14" s="134">
        <v>45000</v>
      </c>
      <c r="G14" s="134">
        <v>8100</v>
      </c>
      <c r="H14" s="141">
        <v>300</v>
      </c>
      <c r="I14" s="134">
        <v>495000</v>
      </c>
      <c r="J14" s="134">
        <v>67100</v>
      </c>
      <c r="K14" s="144">
        <v>4800</v>
      </c>
      <c r="L14" s="24"/>
      <c r="M14" s="66" t="s">
        <v>5</v>
      </c>
      <c r="N14" s="63">
        <v>19.649999999999999</v>
      </c>
      <c r="O14" s="63">
        <v>11.45</v>
      </c>
      <c r="P14" s="67">
        <v>14.27</v>
      </c>
      <c r="Q14" s="23"/>
      <c r="R14" s="66" t="s">
        <v>5</v>
      </c>
      <c r="S14" s="63">
        <v>2.06</v>
      </c>
      <c r="T14" s="67">
        <v>0.84</v>
      </c>
      <c r="U14" s="32"/>
      <c r="V14" s="90" t="s">
        <v>33</v>
      </c>
      <c r="W14" s="91" t="s">
        <v>5</v>
      </c>
      <c r="X14" s="150">
        <v>8200</v>
      </c>
      <c r="Y14" s="100">
        <v>8300</v>
      </c>
      <c r="Z14" s="100">
        <v>9000</v>
      </c>
      <c r="AA14" s="100">
        <v>10200</v>
      </c>
      <c r="AB14" s="100">
        <v>11500</v>
      </c>
      <c r="AC14" s="100">
        <v>12800</v>
      </c>
      <c r="AD14" s="100">
        <v>15500</v>
      </c>
      <c r="AE14" s="100">
        <v>14200</v>
      </c>
      <c r="AF14" s="100">
        <v>14900</v>
      </c>
      <c r="AG14" s="100">
        <v>15600</v>
      </c>
      <c r="AH14" s="100">
        <v>15400</v>
      </c>
      <c r="AI14" s="100">
        <v>15000</v>
      </c>
      <c r="AJ14" s="100">
        <v>14900</v>
      </c>
      <c r="AK14" s="100">
        <v>16000</v>
      </c>
      <c r="AL14" s="100">
        <v>16700</v>
      </c>
      <c r="AM14" s="100">
        <v>18100</v>
      </c>
      <c r="AN14" s="92"/>
      <c r="AO14" s="92"/>
      <c r="AP14" s="93"/>
      <c r="AR14" s="56" t="s">
        <v>33</v>
      </c>
      <c r="AS14" s="134">
        <f t="shared" si="0"/>
        <v>772682.92682926834</v>
      </c>
      <c r="AT14" s="134">
        <f t="shared" si="1"/>
        <v>935670.73170731706</v>
      </c>
      <c r="AU14" s="134">
        <f t="shared" si="2"/>
        <v>857195.12195121951</v>
      </c>
      <c r="AV14" s="134">
        <f t="shared" si="3"/>
        <v>899451.21951219509</v>
      </c>
      <c r="AW14" s="134">
        <f t="shared" si="4"/>
        <v>941707.31707317068</v>
      </c>
      <c r="AX14" s="134">
        <f t="shared" si="5"/>
        <v>929634.14634146332</v>
      </c>
      <c r="AY14" s="134">
        <f t="shared" si="6"/>
        <v>905487.80487804883</v>
      </c>
      <c r="AZ14" s="134">
        <f t="shared" si="7"/>
        <v>899451.21951219509</v>
      </c>
      <c r="BA14" s="170">
        <v>857195.12195121951</v>
      </c>
      <c r="BB14" s="134">
        <f t="shared" si="16"/>
        <v>1008109.756097561</v>
      </c>
      <c r="BC14" s="276">
        <f t="shared" si="17"/>
        <v>1092621.9512195124</v>
      </c>
      <c r="BD14" s="275"/>
      <c r="BE14" s="275"/>
      <c r="BF14" s="275"/>
      <c r="BH14" s="134">
        <f t="shared" si="8"/>
        <v>104741.46341463416</v>
      </c>
      <c r="BI14" s="134">
        <f t="shared" si="9"/>
        <v>126835.36585365853</v>
      </c>
      <c r="BJ14" s="134">
        <f t="shared" si="10"/>
        <v>116197.56097560975</v>
      </c>
      <c r="BK14" s="134">
        <f t="shared" si="11"/>
        <v>121925.60975609756</v>
      </c>
      <c r="BL14" s="134">
        <f t="shared" si="12"/>
        <v>127653.65853658535</v>
      </c>
      <c r="BM14" s="134">
        <f t="shared" si="13"/>
        <v>126017.0731707317</v>
      </c>
      <c r="BN14" s="134">
        <f t="shared" si="14"/>
        <v>122743.9024390244</v>
      </c>
      <c r="BO14" s="134">
        <f t="shared" si="15"/>
        <v>121925.60975609756</v>
      </c>
      <c r="BP14" s="170">
        <v>116197.56097560975</v>
      </c>
      <c r="BQ14" s="134">
        <f t="shared" si="18"/>
        <v>136654.87804878049</v>
      </c>
      <c r="BR14" s="170">
        <f t="shared" si="19"/>
        <v>148110.9756097561</v>
      </c>
    </row>
    <row r="15" spans="1:73" ht="17.25" customHeight="1" x14ac:dyDescent="0.2">
      <c r="A15" s="10" t="s">
        <v>38</v>
      </c>
      <c r="B15" s="129" t="s">
        <v>10</v>
      </c>
      <c r="C15" s="137">
        <v>1510000</v>
      </c>
      <c r="D15" s="134">
        <v>196000</v>
      </c>
      <c r="E15" s="141">
        <v>15100</v>
      </c>
      <c r="F15" s="134">
        <v>151000</v>
      </c>
      <c r="G15" s="134">
        <v>33400</v>
      </c>
      <c r="H15" s="141">
        <v>3500</v>
      </c>
      <c r="I15" s="134">
        <v>1661000</v>
      </c>
      <c r="J15" s="134">
        <v>229400</v>
      </c>
      <c r="K15" s="144">
        <v>18600</v>
      </c>
      <c r="L15" s="24"/>
      <c r="M15" s="66" t="s">
        <v>10</v>
      </c>
      <c r="N15" s="63">
        <v>38.369999999999997</v>
      </c>
      <c r="O15" s="63">
        <v>22.35</v>
      </c>
      <c r="P15" s="67">
        <v>27.86</v>
      </c>
      <c r="Q15" s="23"/>
      <c r="R15" s="66" t="s">
        <v>10</v>
      </c>
      <c r="S15" s="63">
        <v>3.34</v>
      </c>
      <c r="T15" s="67">
        <v>1.37</v>
      </c>
      <c r="U15" s="32"/>
      <c r="V15" s="61" t="s">
        <v>38</v>
      </c>
      <c r="W15" s="60" t="s">
        <v>10</v>
      </c>
      <c r="X15" s="149">
        <v>25900</v>
      </c>
      <c r="Y15" s="101">
        <v>26000</v>
      </c>
      <c r="Z15" s="101">
        <v>26600</v>
      </c>
      <c r="AA15" s="101">
        <v>27000</v>
      </c>
      <c r="AB15" s="101">
        <v>28100</v>
      </c>
      <c r="AC15" s="101">
        <v>29500</v>
      </c>
      <c r="AD15" s="101">
        <v>31700</v>
      </c>
      <c r="AE15" s="101">
        <v>30600</v>
      </c>
      <c r="AF15" s="101">
        <v>32100</v>
      </c>
      <c r="AG15" s="101">
        <v>33700</v>
      </c>
      <c r="AH15" s="101">
        <v>34300</v>
      </c>
      <c r="AI15" s="101">
        <v>35000</v>
      </c>
      <c r="AJ15" s="101">
        <v>36200</v>
      </c>
      <c r="AK15" s="101">
        <v>37300</v>
      </c>
      <c r="AL15" s="101">
        <v>38200</v>
      </c>
      <c r="AM15" s="101">
        <v>39500</v>
      </c>
      <c r="AN15" s="101"/>
      <c r="AO15" s="101"/>
      <c r="AP15" s="127"/>
      <c r="AR15" s="57" t="s">
        <v>38</v>
      </c>
      <c r="AS15" s="134">
        <f t="shared" si="0"/>
        <v>1891872.5868725867</v>
      </c>
      <c r="AT15" s="134">
        <f t="shared" si="1"/>
        <v>2032961.3899613901</v>
      </c>
      <c r="AU15" s="134">
        <f t="shared" si="2"/>
        <v>1962416.9884169886</v>
      </c>
      <c r="AV15" s="134">
        <f t="shared" si="3"/>
        <v>2058613.8996138996</v>
      </c>
      <c r="AW15" s="134">
        <f t="shared" si="4"/>
        <v>2161223.9382239385</v>
      </c>
      <c r="AX15" s="134">
        <f t="shared" si="5"/>
        <v>2199702.702702703</v>
      </c>
      <c r="AY15" s="134">
        <f t="shared" si="6"/>
        <v>2244594.5945945946</v>
      </c>
      <c r="AZ15" s="134">
        <f t="shared" si="7"/>
        <v>2321552.1235521236</v>
      </c>
      <c r="BA15" s="170">
        <v>2135571.4285714286</v>
      </c>
      <c r="BB15" s="134">
        <f t="shared" si="16"/>
        <v>2449814.6718146717</v>
      </c>
      <c r="BC15" s="276">
        <f t="shared" si="17"/>
        <v>2533185.3281853283</v>
      </c>
      <c r="BD15" s="275"/>
      <c r="BE15" s="275"/>
      <c r="BF15" s="275"/>
      <c r="BH15" s="134">
        <f t="shared" si="8"/>
        <v>261285.71428571426</v>
      </c>
      <c r="BI15" s="134">
        <f t="shared" si="9"/>
        <v>280771.42857142858</v>
      </c>
      <c r="BJ15" s="134">
        <f t="shared" si="10"/>
        <v>271028.57142857142</v>
      </c>
      <c r="BK15" s="134">
        <f t="shared" si="11"/>
        <v>284314.28571428568</v>
      </c>
      <c r="BL15" s="134">
        <f t="shared" si="12"/>
        <v>298485.71428571432</v>
      </c>
      <c r="BM15" s="134">
        <f t="shared" si="13"/>
        <v>303800</v>
      </c>
      <c r="BN15" s="134">
        <f t="shared" si="14"/>
        <v>310000</v>
      </c>
      <c r="BO15" s="134">
        <f t="shared" si="15"/>
        <v>320628.57142857148</v>
      </c>
      <c r="BP15" s="170">
        <v>294942.85714285716</v>
      </c>
      <c r="BQ15" s="134">
        <f t="shared" si="18"/>
        <v>338342.8571428571</v>
      </c>
      <c r="BR15" s="170">
        <f t="shared" si="19"/>
        <v>349857.1428571429</v>
      </c>
    </row>
    <row r="16" spans="1:73" ht="17.25" customHeight="1" x14ac:dyDescent="0.2">
      <c r="A16" s="10" t="s">
        <v>34</v>
      </c>
      <c r="B16" s="129" t="s">
        <v>6</v>
      </c>
      <c r="C16" s="137">
        <v>2000000</v>
      </c>
      <c r="D16" s="134">
        <v>260000</v>
      </c>
      <c r="E16" s="141">
        <v>20000</v>
      </c>
      <c r="F16" s="134">
        <v>200000</v>
      </c>
      <c r="G16" s="134">
        <v>12300</v>
      </c>
      <c r="H16" s="141">
        <v>1300</v>
      </c>
      <c r="I16" s="134">
        <v>2200000</v>
      </c>
      <c r="J16" s="134">
        <v>272300</v>
      </c>
      <c r="K16" s="144">
        <v>21300</v>
      </c>
      <c r="L16" s="24"/>
      <c r="M16" s="66" t="s">
        <v>6</v>
      </c>
      <c r="N16" s="63">
        <v>43.43</v>
      </c>
      <c r="O16" s="63">
        <v>25.31</v>
      </c>
      <c r="P16" s="67">
        <v>31.54</v>
      </c>
      <c r="Q16" s="23"/>
      <c r="R16" s="66" t="s">
        <v>6</v>
      </c>
      <c r="S16" s="63">
        <v>3.63</v>
      </c>
      <c r="T16" s="67">
        <v>1.49</v>
      </c>
      <c r="U16" s="32"/>
      <c r="V16" s="90" t="s">
        <v>34</v>
      </c>
      <c r="W16" s="91" t="s">
        <v>6</v>
      </c>
      <c r="X16" s="150">
        <v>34400</v>
      </c>
      <c r="Y16" s="100">
        <v>35000</v>
      </c>
      <c r="Z16" s="100">
        <v>36500</v>
      </c>
      <c r="AA16" s="100">
        <v>38300</v>
      </c>
      <c r="AB16" s="100">
        <v>40200</v>
      </c>
      <c r="AC16" s="100">
        <v>41700</v>
      </c>
      <c r="AD16" s="100">
        <v>44000</v>
      </c>
      <c r="AE16" s="100">
        <v>41900</v>
      </c>
      <c r="AF16" s="100">
        <v>43800</v>
      </c>
      <c r="AG16" s="100">
        <v>44500</v>
      </c>
      <c r="AH16" s="100">
        <v>45500</v>
      </c>
      <c r="AI16" s="100">
        <v>46100</v>
      </c>
      <c r="AJ16" s="100">
        <v>47100</v>
      </c>
      <c r="AK16" s="100">
        <v>47800</v>
      </c>
      <c r="AL16" s="100">
        <v>48400</v>
      </c>
      <c r="AM16" s="100">
        <v>50000</v>
      </c>
      <c r="AN16" s="92"/>
      <c r="AO16" s="92"/>
      <c r="AP16" s="93"/>
      <c r="AR16" s="56" t="s">
        <v>34</v>
      </c>
      <c r="AS16" s="134">
        <f t="shared" si="0"/>
        <v>2666860.4651162787</v>
      </c>
      <c r="AT16" s="134">
        <f t="shared" si="1"/>
        <v>2813953.4883720931</v>
      </c>
      <c r="AU16" s="134">
        <f t="shared" si="2"/>
        <v>2679651.1627906975</v>
      </c>
      <c r="AV16" s="134">
        <f t="shared" si="3"/>
        <v>2801162.7906976747</v>
      </c>
      <c r="AW16" s="134">
        <f t="shared" si="4"/>
        <v>2845930.2325581396</v>
      </c>
      <c r="AX16" s="134">
        <f t="shared" si="5"/>
        <v>2909883.7209302322</v>
      </c>
      <c r="AY16" s="134">
        <f t="shared" si="6"/>
        <v>2948255.8139534881</v>
      </c>
      <c r="AZ16" s="134">
        <f t="shared" si="7"/>
        <v>3012209.3023255812</v>
      </c>
      <c r="BA16" s="170">
        <v>2839534.8837209302</v>
      </c>
      <c r="BB16" s="134">
        <f t="shared" si="16"/>
        <v>3095348.8372093025</v>
      </c>
      <c r="BC16" s="276">
        <f t="shared" si="17"/>
        <v>3197674.418604651</v>
      </c>
      <c r="BD16" s="275"/>
      <c r="BE16" s="275"/>
      <c r="BF16" s="275"/>
      <c r="BH16" s="134">
        <f t="shared" si="8"/>
        <v>330084.59302325582</v>
      </c>
      <c r="BI16" s="134">
        <f t="shared" si="9"/>
        <v>348290.69767441862</v>
      </c>
      <c r="BJ16" s="134">
        <f t="shared" si="10"/>
        <v>331667.73255813954</v>
      </c>
      <c r="BK16" s="134">
        <f t="shared" si="11"/>
        <v>346707.5581395349</v>
      </c>
      <c r="BL16" s="134">
        <f t="shared" si="12"/>
        <v>352248.54651162791</v>
      </c>
      <c r="BM16" s="134">
        <f t="shared" si="13"/>
        <v>360164.24418604648</v>
      </c>
      <c r="BN16" s="134">
        <f t="shared" si="14"/>
        <v>364913.66279069765</v>
      </c>
      <c r="BO16" s="134">
        <f t="shared" si="15"/>
        <v>372829.36046511628</v>
      </c>
      <c r="BP16" s="170">
        <v>351456.97674418607</v>
      </c>
      <c r="BQ16" s="134">
        <f t="shared" si="18"/>
        <v>383119.76744186046</v>
      </c>
      <c r="BR16" s="170">
        <f t="shared" si="19"/>
        <v>395784.8837209302</v>
      </c>
    </row>
    <row r="17" spans="1:70" ht="17.25" customHeight="1" x14ac:dyDescent="0.2">
      <c r="A17" s="10" t="s">
        <v>35</v>
      </c>
      <c r="B17" s="129" t="s">
        <v>7</v>
      </c>
      <c r="C17" s="137">
        <v>320000</v>
      </c>
      <c r="D17" s="134">
        <v>41000</v>
      </c>
      <c r="E17" s="141">
        <v>3200</v>
      </c>
      <c r="F17" s="134">
        <v>32000</v>
      </c>
      <c r="G17" s="134">
        <v>5500</v>
      </c>
      <c r="H17" s="141">
        <v>200</v>
      </c>
      <c r="I17" s="134">
        <v>352000</v>
      </c>
      <c r="J17" s="134">
        <v>46500</v>
      </c>
      <c r="K17" s="144">
        <v>3400</v>
      </c>
      <c r="L17" s="24"/>
      <c r="M17" s="66" t="s">
        <v>7</v>
      </c>
      <c r="N17" s="63">
        <v>17.66</v>
      </c>
      <c r="O17" s="63">
        <v>10.3</v>
      </c>
      <c r="P17" s="67">
        <v>12.82</v>
      </c>
      <c r="Q17" s="23"/>
      <c r="R17" s="66" t="s">
        <v>7</v>
      </c>
      <c r="S17" s="63">
        <v>1.9</v>
      </c>
      <c r="T17" s="67">
        <v>0.78</v>
      </c>
      <c r="U17" s="32"/>
      <c r="V17" s="61" t="s">
        <v>35</v>
      </c>
      <c r="W17" s="60" t="s">
        <v>7</v>
      </c>
      <c r="X17" s="149">
        <v>5700</v>
      </c>
      <c r="Y17" s="101">
        <v>6400</v>
      </c>
      <c r="Z17" s="101">
        <v>7200</v>
      </c>
      <c r="AA17" s="101">
        <v>8300</v>
      </c>
      <c r="AB17" s="101">
        <v>10000</v>
      </c>
      <c r="AC17" s="101">
        <v>12000</v>
      </c>
      <c r="AD17" s="101">
        <v>12300</v>
      </c>
      <c r="AE17" s="101">
        <v>10600</v>
      </c>
      <c r="AF17" s="101">
        <v>11000</v>
      </c>
      <c r="AG17" s="101">
        <v>12500</v>
      </c>
      <c r="AH17" s="101">
        <v>13500</v>
      </c>
      <c r="AI17" s="101">
        <v>14300</v>
      </c>
      <c r="AJ17" s="101">
        <v>15000</v>
      </c>
      <c r="AK17" s="101">
        <v>15500</v>
      </c>
      <c r="AL17" s="101">
        <v>16000</v>
      </c>
      <c r="AM17" s="101">
        <v>17500</v>
      </c>
      <c r="AN17" s="101"/>
      <c r="AO17" s="101"/>
      <c r="AP17" s="127"/>
      <c r="AR17" s="57" t="s">
        <v>35</v>
      </c>
      <c r="AS17" s="134">
        <f t="shared" si="0"/>
        <v>741052.6315789473</v>
      </c>
      <c r="AT17" s="134">
        <f t="shared" si="1"/>
        <v>759578.94736842113</v>
      </c>
      <c r="AU17" s="134">
        <f t="shared" si="2"/>
        <v>654596.49122807023</v>
      </c>
      <c r="AV17" s="134">
        <f t="shared" si="3"/>
        <v>679298.24561403506</v>
      </c>
      <c r="AW17" s="134">
        <f t="shared" si="4"/>
        <v>771929.8245614036</v>
      </c>
      <c r="AX17" s="134">
        <f t="shared" si="5"/>
        <v>833684.21052631573</v>
      </c>
      <c r="AY17" s="134">
        <f t="shared" si="6"/>
        <v>883087.7192982455</v>
      </c>
      <c r="AZ17" s="134">
        <f t="shared" si="7"/>
        <v>926315.78947368427</v>
      </c>
      <c r="BA17" s="170">
        <v>852210.52631578944</v>
      </c>
      <c r="BB17" s="134">
        <f t="shared" si="16"/>
        <v>988070.1754385964</v>
      </c>
      <c r="BC17" s="276">
        <f t="shared" si="17"/>
        <v>1080701.7543859649</v>
      </c>
      <c r="BD17" s="275"/>
      <c r="BE17" s="275"/>
      <c r="BF17" s="275"/>
      <c r="BH17" s="134">
        <f t="shared" si="8"/>
        <v>97894.736842105252</v>
      </c>
      <c r="BI17" s="134">
        <f t="shared" si="9"/>
        <v>100342.10526315789</v>
      </c>
      <c r="BJ17" s="134">
        <f t="shared" si="10"/>
        <v>86473.68421052632</v>
      </c>
      <c r="BK17" s="134">
        <f t="shared" si="11"/>
        <v>89736.84210526316</v>
      </c>
      <c r="BL17" s="134">
        <f t="shared" si="12"/>
        <v>101973.68421052632</v>
      </c>
      <c r="BM17" s="134">
        <f t="shared" si="13"/>
        <v>110131.57894736841</v>
      </c>
      <c r="BN17" s="134">
        <f t="shared" si="14"/>
        <v>116657.89473684209</v>
      </c>
      <c r="BO17" s="134">
        <f t="shared" si="15"/>
        <v>122368.42105263159</v>
      </c>
      <c r="BP17" s="170">
        <v>112578.94736842105</v>
      </c>
      <c r="BQ17" s="134">
        <f t="shared" si="18"/>
        <v>130526.31578947368</v>
      </c>
      <c r="BR17" s="170">
        <f t="shared" si="19"/>
        <v>142763.15789473685</v>
      </c>
    </row>
    <row r="18" spans="1:70" ht="17.25" customHeight="1" x14ac:dyDescent="0.2">
      <c r="A18" s="10" t="s">
        <v>39</v>
      </c>
      <c r="B18" s="129" t="s">
        <v>11</v>
      </c>
      <c r="C18" s="137">
        <v>760000</v>
      </c>
      <c r="D18" s="134">
        <v>99000</v>
      </c>
      <c r="E18" s="141">
        <v>7600</v>
      </c>
      <c r="F18" s="134">
        <v>76000</v>
      </c>
      <c r="G18" s="134">
        <v>10500</v>
      </c>
      <c r="H18" s="141">
        <v>800</v>
      </c>
      <c r="I18" s="134">
        <v>836000</v>
      </c>
      <c r="J18" s="134">
        <v>109500</v>
      </c>
      <c r="K18" s="144">
        <v>8400</v>
      </c>
      <c r="L18" s="24"/>
      <c r="M18" s="66" t="s">
        <v>11</v>
      </c>
      <c r="N18" s="63">
        <v>26.74</v>
      </c>
      <c r="O18" s="63">
        <v>15.59</v>
      </c>
      <c r="P18" s="67">
        <v>19.420000000000002</v>
      </c>
      <c r="Q18" s="23"/>
      <c r="R18" s="66" t="s">
        <v>11</v>
      </c>
      <c r="S18" s="63">
        <v>2.5499999999999998</v>
      </c>
      <c r="T18" s="67">
        <v>1.05</v>
      </c>
      <c r="U18" s="32"/>
      <c r="V18" s="90" t="s">
        <v>39</v>
      </c>
      <c r="W18" s="91" t="s">
        <v>11</v>
      </c>
      <c r="X18" s="150">
        <v>14300</v>
      </c>
      <c r="Y18" s="100">
        <v>15600</v>
      </c>
      <c r="Z18" s="100">
        <v>16800</v>
      </c>
      <c r="AA18" s="100">
        <v>17400</v>
      </c>
      <c r="AB18" s="100">
        <v>18700</v>
      </c>
      <c r="AC18" s="100">
        <v>20000</v>
      </c>
      <c r="AD18" s="100">
        <v>21800</v>
      </c>
      <c r="AE18" s="100">
        <v>21400</v>
      </c>
      <c r="AF18" s="100">
        <v>20300</v>
      </c>
      <c r="AG18" s="100">
        <v>18600</v>
      </c>
      <c r="AH18" s="100">
        <v>17300</v>
      </c>
      <c r="AI18" s="100">
        <v>16500</v>
      </c>
      <c r="AJ18" s="100">
        <v>16400</v>
      </c>
      <c r="AK18" s="100">
        <v>16300</v>
      </c>
      <c r="AL18" s="100">
        <v>16200</v>
      </c>
      <c r="AM18" s="100">
        <v>16600</v>
      </c>
      <c r="AN18" s="92"/>
      <c r="AO18" s="92"/>
      <c r="AP18" s="93"/>
      <c r="AR18" s="56" t="s">
        <v>39</v>
      </c>
      <c r="AS18" s="134">
        <f t="shared" si="0"/>
        <v>1169230.7692307692</v>
      </c>
      <c r="AT18" s="134">
        <f t="shared" si="1"/>
        <v>1274461.5384615383</v>
      </c>
      <c r="AU18" s="134">
        <f t="shared" si="2"/>
        <v>1251076.923076923</v>
      </c>
      <c r="AV18" s="134">
        <f t="shared" si="3"/>
        <v>1186769.2307692308</v>
      </c>
      <c r="AW18" s="134">
        <f t="shared" si="4"/>
        <v>1087384.6153846153</v>
      </c>
      <c r="AX18" s="134">
        <f t="shared" si="5"/>
        <v>1011384.6153846154</v>
      </c>
      <c r="AY18" s="134">
        <f t="shared" si="6"/>
        <v>964615.38461538451</v>
      </c>
      <c r="AZ18" s="134">
        <f t="shared" si="7"/>
        <v>958769.23076923075</v>
      </c>
      <c r="BA18" s="170">
        <v>1026000</v>
      </c>
      <c r="BB18" s="134">
        <f t="shared" si="16"/>
        <v>947076.92307692312</v>
      </c>
      <c r="BC18" s="276">
        <f t="shared" si="17"/>
        <v>970461.5384615385</v>
      </c>
      <c r="BD18" s="275"/>
      <c r="BE18" s="275"/>
      <c r="BF18" s="275"/>
      <c r="BH18" s="134">
        <f t="shared" si="8"/>
        <v>153146.85314685313</v>
      </c>
      <c r="BI18" s="134">
        <f t="shared" si="9"/>
        <v>166930.06993006991</v>
      </c>
      <c r="BJ18" s="134">
        <f t="shared" si="10"/>
        <v>163867.13286713287</v>
      </c>
      <c r="BK18" s="134">
        <f t="shared" si="11"/>
        <v>155444.05594405593</v>
      </c>
      <c r="BL18" s="134">
        <f t="shared" si="12"/>
        <v>142426.57342657342</v>
      </c>
      <c r="BM18" s="134">
        <f t="shared" si="13"/>
        <v>132472.02797202798</v>
      </c>
      <c r="BN18" s="134">
        <f t="shared" si="14"/>
        <v>126346.15384615383</v>
      </c>
      <c r="BO18" s="134">
        <f t="shared" si="15"/>
        <v>125580.41958041958</v>
      </c>
      <c r="BP18" s="170">
        <v>134386.36363636365</v>
      </c>
      <c r="BQ18" s="134">
        <f t="shared" si="18"/>
        <v>124048.95104895106</v>
      </c>
      <c r="BR18" s="170">
        <f t="shared" si="19"/>
        <v>127111.88811188811</v>
      </c>
    </row>
    <row r="19" spans="1:70" ht="17.25" customHeight="1" x14ac:dyDescent="0.2">
      <c r="A19" s="10" t="s">
        <v>53</v>
      </c>
      <c r="B19" s="129" t="s">
        <v>25</v>
      </c>
      <c r="C19" s="137">
        <v>1020000</v>
      </c>
      <c r="D19" s="134">
        <v>132000</v>
      </c>
      <c r="E19" s="141">
        <v>10200</v>
      </c>
      <c r="F19" s="134">
        <v>102000</v>
      </c>
      <c r="G19" s="134">
        <v>6900</v>
      </c>
      <c r="H19" s="141">
        <v>300</v>
      </c>
      <c r="I19" s="134">
        <v>1122000</v>
      </c>
      <c r="J19" s="134">
        <v>138900</v>
      </c>
      <c r="K19" s="144">
        <v>10500</v>
      </c>
      <c r="L19" s="24"/>
      <c r="M19" s="66" t="s">
        <v>25</v>
      </c>
      <c r="N19" s="63">
        <v>30.77</v>
      </c>
      <c r="O19" s="63">
        <v>17.93</v>
      </c>
      <c r="P19" s="67">
        <v>22.34</v>
      </c>
      <c r="Q19" s="23"/>
      <c r="R19" s="66" t="s">
        <v>25</v>
      </c>
      <c r="S19" s="63">
        <v>2.84</v>
      </c>
      <c r="T19" s="67">
        <v>1.17</v>
      </c>
      <c r="U19" s="32"/>
      <c r="V19" s="61" t="s">
        <v>53</v>
      </c>
      <c r="W19" s="60" t="s">
        <v>25</v>
      </c>
      <c r="X19" s="149">
        <v>17700</v>
      </c>
      <c r="Y19" s="101">
        <v>18600</v>
      </c>
      <c r="Z19" s="101">
        <v>19700</v>
      </c>
      <c r="AA19" s="101">
        <v>21000</v>
      </c>
      <c r="AB19" s="101">
        <v>22400</v>
      </c>
      <c r="AC19" s="101">
        <v>23500</v>
      </c>
      <c r="AD19" s="101">
        <v>24300</v>
      </c>
      <c r="AE19" s="101">
        <v>23300</v>
      </c>
      <c r="AF19" s="101">
        <v>23200</v>
      </c>
      <c r="AG19" s="101">
        <v>22900</v>
      </c>
      <c r="AH19" s="101">
        <v>22200</v>
      </c>
      <c r="AI19" s="101">
        <v>22000</v>
      </c>
      <c r="AJ19" s="101">
        <v>22300</v>
      </c>
      <c r="AK19" s="101">
        <v>23300</v>
      </c>
      <c r="AL19" s="101">
        <v>24100</v>
      </c>
      <c r="AM19" s="101">
        <v>25000</v>
      </c>
      <c r="AN19" s="101"/>
      <c r="AO19" s="101"/>
      <c r="AP19" s="127"/>
      <c r="AR19" s="57" t="s">
        <v>53</v>
      </c>
      <c r="AS19" s="134">
        <f t="shared" si="0"/>
        <v>1489661.0169491526</v>
      </c>
      <c r="AT19" s="134">
        <f t="shared" si="1"/>
        <v>1540372.881355932</v>
      </c>
      <c r="AU19" s="134">
        <f t="shared" si="2"/>
        <v>1476983.0508474575</v>
      </c>
      <c r="AV19" s="134">
        <f t="shared" si="3"/>
        <v>1470644.0677966101</v>
      </c>
      <c r="AW19" s="134">
        <f t="shared" si="4"/>
        <v>1451627.1186440678</v>
      </c>
      <c r="AX19" s="134">
        <f t="shared" si="5"/>
        <v>1407254.2372881356</v>
      </c>
      <c r="AY19" s="134">
        <f t="shared" si="6"/>
        <v>1394576.2711864407</v>
      </c>
      <c r="AZ19" s="134">
        <f t="shared" si="7"/>
        <v>1413593.220338983</v>
      </c>
      <c r="BA19" s="170">
        <v>1413593.220338983</v>
      </c>
      <c r="BB19" s="134">
        <f t="shared" si="16"/>
        <v>1527694.9152542374</v>
      </c>
      <c r="BC19" s="276">
        <f t="shared" si="17"/>
        <v>1584745.7627118644</v>
      </c>
      <c r="BD19" s="275"/>
      <c r="BE19" s="275"/>
      <c r="BF19" s="275"/>
      <c r="BH19" s="134">
        <f t="shared" si="8"/>
        <v>184415.25423728814</v>
      </c>
      <c r="BI19" s="134">
        <f t="shared" si="9"/>
        <v>190693.22033898302</v>
      </c>
      <c r="BJ19" s="134">
        <f t="shared" si="10"/>
        <v>182845.7627118644</v>
      </c>
      <c r="BK19" s="134">
        <f t="shared" si="11"/>
        <v>182061.01694915252</v>
      </c>
      <c r="BL19" s="134">
        <f t="shared" si="12"/>
        <v>179706.77966101695</v>
      </c>
      <c r="BM19" s="134">
        <f t="shared" si="13"/>
        <v>174213.55932203389</v>
      </c>
      <c r="BN19" s="134">
        <f t="shared" si="14"/>
        <v>172644.06779661018</v>
      </c>
      <c r="BO19" s="134">
        <f t="shared" si="15"/>
        <v>174998.30508474578</v>
      </c>
      <c r="BP19" s="170">
        <v>174998.30508474578</v>
      </c>
      <c r="BQ19" s="134">
        <f t="shared" si="18"/>
        <v>189123.72881355931</v>
      </c>
      <c r="BR19" s="170">
        <f t="shared" si="19"/>
        <v>196186.44067796611</v>
      </c>
    </row>
    <row r="20" spans="1:70" ht="17.25" customHeight="1" x14ac:dyDescent="0.2">
      <c r="A20" s="10" t="s">
        <v>36</v>
      </c>
      <c r="B20" s="129" t="s">
        <v>8</v>
      </c>
      <c r="C20" s="137">
        <v>1580000</v>
      </c>
      <c r="D20" s="134">
        <v>205000</v>
      </c>
      <c r="E20" s="141">
        <v>15800</v>
      </c>
      <c r="F20" s="134">
        <v>158000</v>
      </c>
      <c r="G20" s="134">
        <v>25600</v>
      </c>
      <c r="H20" s="141">
        <v>1500</v>
      </c>
      <c r="I20" s="134">
        <v>1738000</v>
      </c>
      <c r="J20" s="134">
        <v>230600</v>
      </c>
      <c r="K20" s="144">
        <v>17300</v>
      </c>
      <c r="L20" s="24"/>
      <c r="M20" s="66" t="s">
        <v>8</v>
      </c>
      <c r="N20" s="63">
        <v>38.770000000000003</v>
      </c>
      <c r="O20" s="63">
        <v>22.59</v>
      </c>
      <c r="P20" s="67">
        <v>28.15</v>
      </c>
      <c r="Q20" s="23"/>
      <c r="R20" s="66" t="s">
        <v>8</v>
      </c>
      <c r="S20" s="63">
        <v>3.34</v>
      </c>
      <c r="T20" s="67">
        <v>1.37</v>
      </c>
      <c r="U20" s="32"/>
      <c r="V20" s="90" t="s">
        <v>36</v>
      </c>
      <c r="W20" s="91" t="s">
        <v>8</v>
      </c>
      <c r="X20" s="150">
        <v>27600</v>
      </c>
      <c r="Y20" s="100">
        <v>27900</v>
      </c>
      <c r="Z20" s="150">
        <v>29100</v>
      </c>
      <c r="AA20" s="150">
        <v>30000</v>
      </c>
      <c r="AB20" s="150">
        <v>31500</v>
      </c>
      <c r="AC20" s="150">
        <v>34000</v>
      </c>
      <c r="AD20" s="150">
        <v>36500</v>
      </c>
      <c r="AE20" s="150">
        <v>33900</v>
      </c>
      <c r="AF20" s="150">
        <v>34900</v>
      </c>
      <c r="AG20" s="150">
        <v>36500</v>
      </c>
      <c r="AH20" s="150">
        <v>36900</v>
      </c>
      <c r="AI20" s="150">
        <v>37400</v>
      </c>
      <c r="AJ20" s="150">
        <v>37600</v>
      </c>
      <c r="AK20" s="150">
        <v>38200</v>
      </c>
      <c r="AL20" s="150">
        <v>39300</v>
      </c>
      <c r="AM20" s="150">
        <v>40600</v>
      </c>
      <c r="AN20" s="92"/>
      <c r="AO20" s="92"/>
      <c r="AP20" s="93"/>
      <c r="AR20" s="56" t="s">
        <v>36</v>
      </c>
      <c r="AS20" s="134">
        <f t="shared" si="0"/>
        <v>2141014.4927536231</v>
      </c>
      <c r="AT20" s="134">
        <f t="shared" si="1"/>
        <v>2298442.0289855073</v>
      </c>
      <c r="AU20" s="134">
        <f t="shared" si="2"/>
        <v>2134717.3913043477</v>
      </c>
      <c r="AV20" s="134">
        <f t="shared" si="3"/>
        <v>2197688.4057971016</v>
      </c>
      <c r="AW20" s="134">
        <f t="shared" si="4"/>
        <v>2298442.0289855073</v>
      </c>
      <c r="AX20" s="134">
        <f t="shared" si="5"/>
        <v>2323630.4347826084</v>
      </c>
      <c r="AY20" s="134">
        <f t="shared" si="6"/>
        <v>2355115.9420289854</v>
      </c>
      <c r="AZ20" s="134">
        <f t="shared" si="7"/>
        <v>2367710.1449275361</v>
      </c>
      <c r="BA20" s="170">
        <v>2241768.1159420288</v>
      </c>
      <c r="BB20" s="134">
        <f t="shared" si="16"/>
        <v>2474760.8695652178</v>
      </c>
      <c r="BC20" s="276">
        <f t="shared" si="17"/>
        <v>2556623.1884057974</v>
      </c>
      <c r="BD20" s="275"/>
      <c r="BE20" s="275"/>
      <c r="BF20" s="275"/>
      <c r="BH20" s="134">
        <f t="shared" si="8"/>
        <v>284072.46376811591</v>
      </c>
      <c r="BI20" s="134">
        <f t="shared" si="9"/>
        <v>304960.14492753625</v>
      </c>
      <c r="BJ20" s="134">
        <f t="shared" si="10"/>
        <v>283236.95652173914</v>
      </c>
      <c r="BK20" s="134">
        <f t="shared" si="11"/>
        <v>291592.02898550726</v>
      </c>
      <c r="BL20" s="134">
        <f t="shared" si="12"/>
        <v>304960.14492753625</v>
      </c>
      <c r="BM20" s="134">
        <f t="shared" si="13"/>
        <v>308302.17391304346</v>
      </c>
      <c r="BN20" s="134">
        <f t="shared" si="14"/>
        <v>312479.71014492755</v>
      </c>
      <c r="BO20" s="134">
        <f t="shared" si="15"/>
        <v>314150.72463768115</v>
      </c>
      <c r="BP20" s="170">
        <v>297440.5797101449</v>
      </c>
      <c r="BQ20" s="134">
        <f t="shared" si="18"/>
        <v>328354.34782608697</v>
      </c>
      <c r="BR20" s="170">
        <f t="shared" si="19"/>
        <v>339215.94202898553</v>
      </c>
    </row>
    <row r="21" spans="1:70" ht="17.25" customHeight="1" x14ac:dyDescent="0.2">
      <c r="A21" s="10" t="s">
        <v>37</v>
      </c>
      <c r="B21" s="129" t="s">
        <v>9</v>
      </c>
      <c r="C21" s="137">
        <v>1470000</v>
      </c>
      <c r="D21" s="134">
        <v>191000</v>
      </c>
      <c r="E21" s="141">
        <v>14700</v>
      </c>
      <c r="F21" s="134">
        <v>147000</v>
      </c>
      <c r="G21" s="134">
        <v>34800</v>
      </c>
      <c r="H21" s="141">
        <v>2300</v>
      </c>
      <c r="I21" s="134">
        <v>1617000</v>
      </c>
      <c r="J21" s="134">
        <v>225800</v>
      </c>
      <c r="K21" s="144">
        <v>17000</v>
      </c>
      <c r="L21" s="24"/>
      <c r="M21" s="66" t="s">
        <v>9</v>
      </c>
      <c r="N21" s="63">
        <v>38.14</v>
      </c>
      <c r="O21" s="63">
        <v>22.23</v>
      </c>
      <c r="P21" s="67">
        <v>27.7</v>
      </c>
      <c r="Q21" s="23"/>
      <c r="R21" s="66" t="s">
        <v>9</v>
      </c>
      <c r="S21" s="63">
        <v>3.32</v>
      </c>
      <c r="T21" s="67">
        <v>1.36</v>
      </c>
      <c r="U21" s="32"/>
      <c r="V21" s="61" t="s">
        <v>37</v>
      </c>
      <c r="W21" s="60" t="s">
        <v>9</v>
      </c>
      <c r="X21" s="149">
        <v>25000</v>
      </c>
      <c r="Y21" s="101">
        <v>25600</v>
      </c>
      <c r="Z21" s="101">
        <v>26500</v>
      </c>
      <c r="AA21" s="101">
        <v>27300</v>
      </c>
      <c r="AB21" s="101">
        <v>28400</v>
      </c>
      <c r="AC21" s="101">
        <v>29600</v>
      </c>
      <c r="AD21" s="101">
        <v>31000</v>
      </c>
      <c r="AE21" s="101">
        <v>29900</v>
      </c>
      <c r="AF21" s="101">
        <v>30700</v>
      </c>
      <c r="AG21" s="101">
        <v>31500</v>
      </c>
      <c r="AH21" s="101">
        <v>31800</v>
      </c>
      <c r="AI21" s="101">
        <v>32100</v>
      </c>
      <c r="AJ21" s="101">
        <v>32400</v>
      </c>
      <c r="AK21" s="101">
        <v>33000</v>
      </c>
      <c r="AL21" s="101">
        <v>33300</v>
      </c>
      <c r="AM21" s="101">
        <v>34200</v>
      </c>
      <c r="AN21" s="101"/>
      <c r="AO21" s="101"/>
      <c r="AP21" s="127"/>
      <c r="AR21" s="57" t="s">
        <v>37</v>
      </c>
      <c r="AS21" s="134">
        <f t="shared" si="0"/>
        <v>1914528</v>
      </c>
      <c r="AT21" s="134">
        <f t="shared" si="1"/>
        <v>2005080</v>
      </c>
      <c r="AU21" s="134">
        <f t="shared" si="2"/>
        <v>1933932</v>
      </c>
      <c r="AV21" s="134">
        <f t="shared" si="3"/>
        <v>1985676</v>
      </c>
      <c r="AW21" s="134">
        <f t="shared" si="4"/>
        <v>2037420</v>
      </c>
      <c r="AX21" s="134">
        <f t="shared" si="5"/>
        <v>2056824</v>
      </c>
      <c r="AY21" s="134">
        <f t="shared" si="6"/>
        <v>2076228</v>
      </c>
      <c r="AZ21" s="134">
        <f t="shared" si="7"/>
        <v>2095632</v>
      </c>
      <c r="BA21" s="170">
        <v>2024484</v>
      </c>
      <c r="BB21" s="134">
        <f t="shared" si="16"/>
        <v>2153844</v>
      </c>
      <c r="BC21" s="276">
        <f t="shared" si="17"/>
        <v>2212056</v>
      </c>
      <c r="BD21" s="275"/>
      <c r="BE21" s="275"/>
      <c r="BF21" s="275"/>
      <c r="BH21" s="134">
        <f t="shared" si="8"/>
        <v>267347.20000000001</v>
      </c>
      <c r="BI21" s="134">
        <f t="shared" si="9"/>
        <v>279992</v>
      </c>
      <c r="BJ21" s="134">
        <f t="shared" si="10"/>
        <v>270056.8</v>
      </c>
      <c r="BK21" s="134">
        <f t="shared" si="11"/>
        <v>277282.40000000002</v>
      </c>
      <c r="BL21" s="134">
        <f t="shared" si="12"/>
        <v>284508</v>
      </c>
      <c r="BM21" s="134">
        <f t="shared" si="13"/>
        <v>287217.59999999998</v>
      </c>
      <c r="BN21" s="134">
        <f t="shared" si="14"/>
        <v>289927.2</v>
      </c>
      <c r="BO21" s="134">
        <f t="shared" si="15"/>
        <v>292636.79999999999</v>
      </c>
      <c r="BP21" s="170">
        <v>282701.59999999998</v>
      </c>
      <c r="BQ21" s="134">
        <f t="shared" si="18"/>
        <v>300765.60000000003</v>
      </c>
      <c r="BR21" s="170">
        <f t="shared" si="19"/>
        <v>308894.40000000002</v>
      </c>
    </row>
    <row r="22" spans="1:70" ht="17.25" customHeight="1" x14ac:dyDescent="0.2">
      <c r="A22" s="10" t="s">
        <v>324</v>
      </c>
      <c r="B22" s="129" t="s">
        <v>317</v>
      </c>
      <c r="C22" s="137">
        <f>(C23+C36)/2</f>
        <v>340000</v>
      </c>
      <c r="D22" s="134">
        <f t="shared" ref="D22:K22" si="23">(D23+D36)/2</f>
        <v>44000</v>
      </c>
      <c r="E22" s="141">
        <f t="shared" si="23"/>
        <v>3400</v>
      </c>
      <c r="F22" s="134">
        <f t="shared" si="23"/>
        <v>34000</v>
      </c>
      <c r="G22" s="134">
        <f t="shared" si="23"/>
        <v>6550</v>
      </c>
      <c r="H22" s="141">
        <f t="shared" si="23"/>
        <v>250</v>
      </c>
      <c r="I22" s="134">
        <f t="shared" si="23"/>
        <v>374000</v>
      </c>
      <c r="J22" s="134">
        <f t="shared" si="23"/>
        <v>50550</v>
      </c>
      <c r="K22" s="144">
        <f t="shared" si="23"/>
        <v>3650</v>
      </c>
      <c r="L22" s="24"/>
      <c r="M22" s="66" t="s">
        <v>317</v>
      </c>
      <c r="N22" s="64">
        <f>AVERAGE(N23,N36)</f>
        <v>17.82</v>
      </c>
      <c r="O22" s="64">
        <f>AVERAGE(O23,O36)</f>
        <v>10.385</v>
      </c>
      <c r="P22" s="68">
        <f>AVERAGE(P23,P36)</f>
        <v>12.94</v>
      </c>
      <c r="Q22" s="62"/>
      <c r="R22" s="66" t="s">
        <v>317</v>
      </c>
      <c r="S22" s="64">
        <f>AVERAGE(S23,S36)</f>
        <v>1.925</v>
      </c>
      <c r="T22" s="68">
        <f>AVERAGE(T23,T36)</f>
        <v>0.79499999999999993</v>
      </c>
      <c r="U22" s="32"/>
      <c r="V22" s="90" t="s">
        <v>324</v>
      </c>
      <c r="W22" s="91" t="s">
        <v>317</v>
      </c>
      <c r="X22" s="150">
        <v>6500</v>
      </c>
      <c r="Y22" s="100">
        <v>7000</v>
      </c>
      <c r="Z22" s="100">
        <v>7700</v>
      </c>
      <c r="AA22" s="100">
        <v>8400</v>
      </c>
      <c r="AB22" s="100">
        <v>9200</v>
      </c>
      <c r="AC22" s="100">
        <v>10100</v>
      </c>
      <c r="AD22" s="100">
        <v>11200</v>
      </c>
      <c r="AE22" s="100">
        <v>10500</v>
      </c>
      <c r="AF22" s="100">
        <v>10500</v>
      </c>
      <c r="AG22" s="100">
        <v>10500</v>
      </c>
      <c r="AH22" s="100">
        <v>10300</v>
      </c>
      <c r="AI22" s="100">
        <v>10300</v>
      </c>
      <c r="AJ22" s="100">
        <v>10200</v>
      </c>
      <c r="AK22" s="100">
        <v>10600</v>
      </c>
      <c r="AL22" s="100">
        <v>11100</v>
      </c>
      <c r="AM22" s="100">
        <v>11700</v>
      </c>
      <c r="AN22" s="92"/>
      <c r="AO22" s="92"/>
      <c r="AP22" s="93"/>
      <c r="AR22" s="56" t="s">
        <v>324</v>
      </c>
      <c r="AS22" s="134">
        <f t="shared" si="0"/>
        <v>581138.4615384615</v>
      </c>
      <c r="AT22" s="134">
        <f t="shared" si="1"/>
        <v>644430.76923076925</v>
      </c>
      <c r="AU22" s="134">
        <f t="shared" si="2"/>
        <v>604153.84615384613</v>
      </c>
      <c r="AV22" s="134">
        <f t="shared" si="3"/>
        <v>604153.84615384613</v>
      </c>
      <c r="AW22" s="134">
        <f t="shared" si="4"/>
        <v>604153.84615384613</v>
      </c>
      <c r="AX22" s="134">
        <f t="shared" si="5"/>
        <v>592646.15384615387</v>
      </c>
      <c r="AY22" s="134">
        <f t="shared" si="6"/>
        <v>592646.15384615387</v>
      </c>
      <c r="AZ22" s="134">
        <f t="shared" si="7"/>
        <v>586892.30769230763</v>
      </c>
      <c r="BA22" s="170">
        <v>581138.4615384615</v>
      </c>
      <c r="BB22" s="134">
        <f t="shared" si="16"/>
        <v>638676.92307692301</v>
      </c>
      <c r="BC22" s="276">
        <f t="shared" si="17"/>
        <v>673200</v>
      </c>
      <c r="BD22" s="275"/>
      <c r="BE22" s="275"/>
      <c r="BF22" s="275"/>
      <c r="BH22" s="134">
        <f t="shared" si="8"/>
        <v>78546.923076923078</v>
      </c>
      <c r="BI22" s="134">
        <f t="shared" si="9"/>
        <v>87101.538461538468</v>
      </c>
      <c r="BJ22" s="134">
        <f t="shared" si="10"/>
        <v>81657.692307692312</v>
      </c>
      <c r="BK22" s="134">
        <f t="shared" si="11"/>
        <v>81657.692307692312</v>
      </c>
      <c r="BL22" s="134">
        <f t="shared" si="12"/>
        <v>81657.692307692312</v>
      </c>
      <c r="BM22" s="134">
        <f t="shared" si="13"/>
        <v>80102.307692307688</v>
      </c>
      <c r="BN22" s="134">
        <f t="shared" si="14"/>
        <v>80102.307692307688</v>
      </c>
      <c r="BO22" s="134">
        <f t="shared" si="15"/>
        <v>79324.61538461539</v>
      </c>
      <c r="BP22" s="170">
        <v>78546.923076923078</v>
      </c>
      <c r="BQ22" s="134">
        <f t="shared" si="18"/>
        <v>86323.846153846156</v>
      </c>
      <c r="BR22" s="170">
        <f t="shared" si="19"/>
        <v>90990</v>
      </c>
    </row>
    <row r="23" spans="1:70" ht="17.25" customHeight="1" x14ac:dyDescent="0.2">
      <c r="A23" s="10" t="s">
        <v>40</v>
      </c>
      <c r="B23" s="129" t="s">
        <v>12</v>
      </c>
      <c r="C23" s="137">
        <v>400000</v>
      </c>
      <c r="D23" s="134">
        <v>52000</v>
      </c>
      <c r="E23" s="141">
        <v>4000</v>
      </c>
      <c r="F23" s="134">
        <v>40000</v>
      </c>
      <c r="G23" s="134">
        <v>7000</v>
      </c>
      <c r="H23" s="141">
        <v>300</v>
      </c>
      <c r="I23" s="134">
        <v>440000</v>
      </c>
      <c r="J23" s="134">
        <v>59000</v>
      </c>
      <c r="K23" s="144">
        <v>4300</v>
      </c>
      <c r="L23" s="24"/>
      <c r="M23" s="66" t="s">
        <v>12</v>
      </c>
      <c r="N23" s="63">
        <v>18.62</v>
      </c>
      <c r="O23" s="63">
        <v>10.85</v>
      </c>
      <c r="P23" s="67">
        <v>13.52</v>
      </c>
      <c r="Q23" s="23"/>
      <c r="R23" s="66" t="s">
        <v>12</v>
      </c>
      <c r="S23" s="63">
        <v>1.99</v>
      </c>
      <c r="T23" s="67">
        <v>0.82</v>
      </c>
      <c r="U23" s="32"/>
      <c r="V23" s="61" t="s">
        <v>40</v>
      </c>
      <c r="W23" s="60" t="s">
        <v>12</v>
      </c>
      <c r="X23" s="149">
        <v>6900</v>
      </c>
      <c r="Y23" s="101">
        <v>7300</v>
      </c>
      <c r="Z23" s="101">
        <v>8100</v>
      </c>
      <c r="AA23" s="101">
        <v>8800</v>
      </c>
      <c r="AB23" s="101">
        <v>8900</v>
      </c>
      <c r="AC23" s="101">
        <v>9900</v>
      </c>
      <c r="AD23" s="101">
        <v>10800</v>
      </c>
      <c r="AE23" s="101">
        <v>9400</v>
      </c>
      <c r="AF23" s="101">
        <v>9900</v>
      </c>
      <c r="AG23" s="101">
        <v>10200</v>
      </c>
      <c r="AH23" s="101">
        <v>10000</v>
      </c>
      <c r="AI23" s="101">
        <v>10300</v>
      </c>
      <c r="AJ23" s="101">
        <v>10700</v>
      </c>
      <c r="AK23" s="101">
        <v>11200</v>
      </c>
      <c r="AL23" s="101">
        <v>11600</v>
      </c>
      <c r="AM23" s="101">
        <v>12600</v>
      </c>
      <c r="AN23" s="101"/>
      <c r="AO23" s="101"/>
      <c r="AP23" s="127"/>
      <c r="AR23" s="57" t="s">
        <v>40</v>
      </c>
      <c r="AS23" s="134">
        <f t="shared" si="0"/>
        <v>631304.34782608692</v>
      </c>
      <c r="AT23" s="134">
        <f t="shared" si="1"/>
        <v>688695.65217391308</v>
      </c>
      <c r="AU23" s="134">
        <f t="shared" si="2"/>
        <v>599420.28985507251</v>
      </c>
      <c r="AV23" s="134">
        <f t="shared" si="3"/>
        <v>631304.34782608692</v>
      </c>
      <c r="AW23" s="134">
        <f t="shared" si="4"/>
        <v>650434.78260869556</v>
      </c>
      <c r="AX23" s="134">
        <f t="shared" si="5"/>
        <v>637681.1594202898</v>
      </c>
      <c r="AY23" s="134">
        <f t="shared" si="6"/>
        <v>656811.59420289856</v>
      </c>
      <c r="AZ23" s="134">
        <f t="shared" si="7"/>
        <v>682318.8405797102</v>
      </c>
      <c r="BA23" s="170">
        <v>631304.34782608692</v>
      </c>
      <c r="BB23" s="134">
        <f t="shared" si="16"/>
        <v>739710.14492753614</v>
      </c>
      <c r="BC23" s="276">
        <f t="shared" si="17"/>
        <v>803478.26086956519</v>
      </c>
      <c r="BD23" s="275"/>
      <c r="BE23" s="275"/>
      <c r="BF23" s="275"/>
      <c r="BH23" s="134">
        <f t="shared" si="8"/>
        <v>84652.173913043473</v>
      </c>
      <c r="BI23" s="134">
        <f t="shared" si="9"/>
        <v>92347.826086956527</v>
      </c>
      <c r="BJ23" s="134">
        <f t="shared" si="10"/>
        <v>80376.811594202896</v>
      </c>
      <c r="BK23" s="134">
        <f t="shared" si="11"/>
        <v>84652.173913043473</v>
      </c>
      <c r="BL23" s="134">
        <f t="shared" si="12"/>
        <v>87217.391304347824</v>
      </c>
      <c r="BM23" s="134">
        <f t="shared" si="13"/>
        <v>85507.246376811599</v>
      </c>
      <c r="BN23" s="134">
        <f t="shared" si="14"/>
        <v>88072.463768115937</v>
      </c>
      <c r="BO23" s="134">
        <f t="shared" si="15"/>
        <v>91492.753623188401</v>
      </c>
      <c r="BP23" s="170">
        <v>84652.173913043473</v>
      </c>
      <c r="BQ23" s="134">
        <f t="shared" si="18"/>
        <v>99188.405797101441</v>
      </c>
      <c r="BR23" s="170">
        <f t="shared" si="19"/>
        <v>107739.13043478261</v>
      </c>
    </row>
    <row r="24" spans="1:70" ht="17.25" customHeight="1" x14ac:dyDescent="0.2">
      <c r="A24" s="10" t="s">
        <v>41</v>
      </c>
      <c r="B24" s="129" t="s">
        <v>13</v>
      </c>
      <c r="C24" s="137">
        <v>1940000</v>
      </c>
      <c r="D24" s="134">
        <v>252000</v>
      </c>
      <c r="E24" s="141">
        <v>19400</v>
      </c>
      <c r="F24" s="134">
        <v>194000</v>
      </c>
      <c r="G24" s="134">
        <v>18100</v>
      </c>
      <c r="H24" s="141">
        <v>1300</v>
      </c>
      <c r="I24" s="134">
        <v>2134000</v>
      </c>
      <c r="J24" s="134">
        <v>270100</v>
      </c>
      <c r="K24" s="144">
        <v>20700</v>
      </c>
      <c r="L24" s="24"/>
      <c r="M24" s="66" t="s">
        <v>13</v>
      </c>
      <c r="N24" s="63">
        <v>41.14</v>
      </c>
      <c r="O24" s="63">
        <v>23.97</v>
      </c>
      <c r="P24" s="67">
        <v>29.87</v>
      </c>
      <c r="Q24" s="23"/>
      <c r="R24" s="66" t="s">
        <v>13</v>
      </c>
      <c r="S24" s="63">
        <v>3.48</v>
      </c>
      <c r="T24" s="67">
        <v>1.43</v>
      </c>
      <c r="U24" s="32"/>
      <c r="V24" s="90" t="s">
        <v>41</v>
      </c>
      <c r="W24" s="91" t="s">
        <v>13</v>
      </c>
      <c r="X24" s="156">
        <v>33200</v>
      </c>
      <c r="Y24" s="156">
        <v>35200</v>
      </c>
      <c r="Z24" s="150">
        <v>36900</v>
      </c>
      <c r="AA24" s="150">
        <v>39200</v>
      </c>
      <c r="AB24" s="150">
        <v>41600</v>
      </c>
      <c r="AC24" s="150">
        <v>43100</v>
      </c>
      <c r="AD24" s="150">
        <v>41800</v>
      </c>
      <c r="AE24" s="150">
        <v>37500</v>
      </c>
      <c r="AF24" s="150">
        <v>36800</v>
      </c>
      <c r="AG24" s="150">
        <v>37600</v>
      </c>
      <c r="AH24" s="150">
        <v>38200</v>
      </c>
      <c r="AI24" s="150">
        <v>39200</v>
      </c>
      <c r="AJ24" s="150">
        <v>42200</v>
      </c>
      <c r="AK24" s="150">
        <v>56400</v>
      </c>
      <c r="AL24" s="150">
        <v>58800</v>
      </c>
      <c r="AM24" s="150">
        <v>61700</v>
      </c>
      <c r="AN24" s="92"/>
      <c r="AO24" s="92"/>
      <c r="AP24" s="93"/>
      <c r="AR24" s="56" t="s">
        <v>41</v>
      </c>
      <c r="AS24" s="134">
        <f t="shared" si="0"/>
        <v>2770343.373493976</v>
      </c>
      <c r="AT24" s="134">
        <f t="shared" si="1"/>
        <v>2686783.1325301202</v>
      </c>
      <c r="AU24" s="134">
        <f t="shared" si="2"/>
        <v>2410391.5662650606</v>
      </c>
      <c r="AV24" s="134">
        <f t="shared" si="3"/>
        <v>2365397.5903614457</v>
      </c>
      <c r="AW24" s="134">
        <f t="shared" si="4"/>
        <v>2416819.2771084341</v>
      </c>
      <c r="AX24" s="134">
        <f t="shared" si="5"/>
        <v>2455385.542168675</v>
      </c>
      <c r="AY24" s="134">
        <f t="shared" si="6"/>
        <v>2519662.6506024096</v>
      </c>
      <c r="AZ24" s="134">
        <f t="shared" si="7"/>
        <v>2712493.9759036144</v>
      </c>
      <c r="BA24" s="170">
        <v>2288265.0602409639</v>
      </c>
      <c r="BB24" s="134">
        <f t="shared" si="16"/>
        <v>3779493.9759036144</v>
      </c>
      <c r="BC24" s="276">
        <f t="shared" si="17"/>
        <v>3965897.5903614457</v>
      </c>
      <c r="BD24" s="275"/>
      <c r="BE24" s="275"/>
      <c r="BF24" s="275"/>
      <c r="BH24" s="134">
        <f t="shared" si="8"/>
        <v>350641.86746987951</v>
      </c>
      <c r="BI24" s="134">
        <f t="shared" si="9"/>
        <v>340065.6626506024</v>
      </c>
      <c r="BJ24" s="134">
        <f t="shared" si="10"/>
        <v>305082.8313253012</v>
      </c>
      <c r="BK24" s="134">
        <f t="shared" si="11"/>
        <v>299387.95180722891</v>
      </c>
      <c r="BL24" s="134">
        <f t="shared" si="12"/>
        <v>305896.38554216869</v>
      </c>
      <c r="BM24" s="134">
        <f t="shared" si="13"/>
        <v>310777.7108433735</v>
      </c>
      <c r="BN24" s="134">
        <f t="shared" si="14"/>
        <v>318913.2530120482</v>
      </c>
      <c r="BO24" s="134">
        <f t="shared" si="15"/>
        <v>343319.8795180723</v>
      </c>
      <c r="BP24" s="170">
        <v>289625.30120481929</v>
      </c>
      <c r="BQ24" s="134">
        <f t="shared" si="18"/>
        <v>478369.8795180723</v>
      </c>
      <c r="BR24" s="170">
        <f t="shared" si="19"/>
        <v>501962.95180722891</v>
      </c>
    </row>
    <row r="25" spans="1:70" ht="17.25" customHeight="1" x14ac:dyDescent="0.2">
      <c r="A25" s="10" t="s">
        <v>42</v>
      </c>
      <c r="B25" s="129" t="s">
        <v>14</v>
      </c>
      <c r="C25" s="137">
        <v>1300000</v>
      </c>
      <c r="D25" s="134">
        <v>169000</v>
      </c>
      <c r="E25" s="141">
        <v>13000</v>
      </c>
      <c r="F25" s="134">
        <v>130000</v>
      </c>
      <c r="G25" s="134">
        <v>14700</v>
      </c>
      <c r="H25" s="141">
        <v>1100</v>
      </c>
      <c r="I25" s="134">
        <v>1430000</v>
      </c>
      <c r="J25" s="134">
        <v>183700</v>
      </c>
      <c r="K25" s="144">
        <v>14100</v>
      </c>
      <c r="L25" s="24"/>
      <c r="M25" s="66" t="s">
        <v>14</v>
      </c>
      <c r="N25" s="63">
        <v>35.29</v>
      </c>
      <c r="O25" s="63">
        <v>20.57</v>
      </c>
      <c r="P25" s="67">
        <v>25.63</v>
      </c>
      <c r="Q25" s="23"/>
      <c r="R25" s="66" t="s">
        <v>14</v>
      </c>
      <c r="S25" s="63">
        <v>3.14</v>
      </c>
      <c r="T25" s="67">
        <v>1.3</v>
      </c>
      <c r="U25" s="32"/>
      <c r="V25" s="61" t="s">
        <v>42</v>
      </c>
      <c r="W25" s="60" t="s">
        <v>14</v>
      </c>
      <c r="X25" s="149">
        <v>22800</v>
      </c>
      <c r="Y25" s="101">
        <v>23300</v>
      </c>
      <c r="Z25" s="101">
        <v>24000</v>
      </c>
      <c r="AA25" s="101">
        <v>24500</v>
      </c>
      <c r="AB25" s="101">
        <v>25300</v>
      </c>
      <c r="AC25" s="101">
        <v>26200</v>
      </c>
      <c r="AD25" s="101">
        <v>27600</v>
      </c>
      <c r="AE25" s="101">
        <v>26400</v>
      </c>
      <c r="AF25" s="101">
        <v>26800</v>
      </c>
      <c r="AG25" s="101">
        <v>27300</v>
      </c>
      <c r="AH25" s="101">
        <v>26700</v>
      </c>
      <c r="AI25" s="101">
        <v>26500</v>
      </c>
      <c r="AJ25" s="101">
        <v>26700</v>
      </c>
      <c r="AK25" s="101">
        <v>27200</v>
      </c>
      <c r="AL25" s="101">
        <v>27700</v>
      </c>
      <c r="AM25" s="101">
        <v>28400</v>
      </c>
      <c r="AN25" s="101"/>
      <c r="AO25" s="101"/>
      <c r="AP25" s="127"/>
      <c r="AR25" s="56" t="s">
        <v>42</v>
      </c>
      <c r="AS25" s="134">
        <f t="shared" si="0"/>
        <v>1643245.6140350876</v>
      </c>
      <c r="AT25" s="134">
        <f t="shared" si="1"/>
        <v>1731052.6315789474</v>
      </c>
      <c r="AU25" s="134">
        <f t="shared" si="2"/>
        <v>1655789.4736842106</v>
      </c>
      <c r="AV25" s="134">
        <f t="shared" si="3"/>
        <v>1680877.1929824562</v>
      </c>
      <c r="AW25" s="134">
        <f t="shared" si="4"/>
        <v>1712236.8421052631</v>
      </c>
      <c r="AX25" s="134">
        <f t="shared" si="5"/>
        <v>1674605.2631578946</v>
      </c>
      <c r="AY25" s="134">
        <f t="shared" si="6"/>
        <v>1662061.4035087719</v>
      </c>
      <c r="AZ25" s="134">
        <f t="shared" si="7"/>
        <v>1674605.2631578946</v>
      </c>
      <c r="BA25" s="170">
        <v>1605614.0350877191</v>
      </c>
      <c r="BB25" s="134">
        <f t="shared" si="16"/>
        <v>1737324.5614035085</v>
      </c>
      <c r="BC25" s="276">
        <f t="shared" si="17"/>
        <v>1781228.0701754387</v>
      </c>
      <c r="BD25" s="275"/>
      <c r="BE25" s="275"/>
      <c r="BF25" s="275"/>
      <c r="BH25" s="134">
        <f t="shared" si="8"/>
        <v>211093.85964912281</v>
      </c>
      <c r="BI25" s="134">
        <f t="shared" si="9"/>
        <v>222373.68421052632</v>
      </c>
      <c r="BJ25" s="134">
        <f t="shared" si="10"/>
        <v>212705.26315789475</v>
      </c>
      <c r="BK25" s="134">
        <f t="shared" si="11"/>
        <v>215928.07017543862</v>
      </c>
      <c r="BL25" s="134">
        <f t="shared" si="12"/>
        <v>219956.57894736843</v>
      </c>
      <c r="BM25" s="134">
        <f t="shared" si="13"/>
        <v>215122.36842105264</v>
      </c>
      <c r="BN25" s="134">
        <f t="shared" si="14"/>
        <v>213510.9649122807</v>
      </c>
      <c r="BO25" s="134">
        <f t="shared" si="15"/>
        <v>215122.36842105264</v>
      </c>
      <c r="BP25" s="170">
        <v>206259.64912280699</v>
      </c>
      <c r="BQ25" s="134">
        <f t="shared" si="18"/>
        <v>223179.38596491228</v>
      </c>
      <c r="BR25" s="170">
        <f t="shared" si="19"/>
        <v>228819.29824561405</v>
      </c>
    </row>
    <row r="26" spans="1:70" ht="17.25" customHeight="1" x14ac:dyDescent="0.2">
      <c r="A26" s="10" t="s">
        <v>44</v>
      </c>
      <c r="B26" s="129" t="s">
        <v>16</v>
      </c>
      <c r="C26" s="137">
        <v>250000</v>
      </c>
      <c r="D26" s="134">
        <v>33000</v>
      </c>
      <c r="E26" s="141">
        <v>2500</v>
      </c>
      <c r="F26" s="134">
        <v>25000</v>
      </c>
      <c r="G26" s="134">
        <v>5000</v>
      </c>
      <c r="H26" s="141">
        <v>200</v>
      </c>
      <c r="I26" s="134">
        <v>275000</v>
      </c>
      <c r="J26" s="134">
        <v>38000</v>
      </c>
      <c r="K26" s="144">
        <v>2700</v>
      </c>
      <c r="L26" s="24"/>
      <c r="M26" s="66" t="s">
        <v>16</v>
      </c>
      <c r="N26" s="63">
        <v>15.95</v>
      </c>
      <c r="O26" s="63">
        <v>9.2899999999999991</v>
      </c>
      <c r="P26" s="67">
        <v>11.58</v>
      </c>
      <c r="Q26" s="23"/>
      <c r="R26" s="66" t="s">
        <v>16</v>
      </c>
      <c r="S26" s="63">
        <v>1.76</v>
      </c>
      <c r="T26" s="67">
        <v>0.72</v>
      </c>
      <c r="U26" s="32"/>
      <c r="V26" s="90" t="s">
        <v>44</v>
      </c>
      <c r="W26" s="91" t="s">
        <v>16</v>
      </c>
      <c r="X26" s="150">
        <v>4400</v>
      </c>
      <c r="Y26" s="100">
        <v>4900</v>
      </c>
      <c r="Z26" s="150">
        <v>5400</v>
      </c>
      <c r="AA26" s="150">
        <v>6300</v>
      </c>
      <c r="AB26" s="150">
        <v>7400</v>
      </c>
      <c r="AC26" s="150">
        <v>8900</v>
      </c>
      <c r="AD26" s="150">
        <v>10200</v>
      </c>
      <c r="AE26" s="150">
        <v>8500</v>
      </c>
      <c r="AF26" s="150">
        <v>9000</v>
      </c>
      <c r="AG26" s="150">
        <v>10300</v>
      </c>
      <c r="AH26" s="150">
        <v>11200</v>
      </c>
      <c r="AI26" s="150">
        <v>11800</v>
      </c>
      <c r="AJ26" s="150">
        <v>12500</v>
      </c>
      <c r="AK26" s="150">
        <v>12900</v>
      </c>
      <c r="AL26" s="150">
        <v>13500</v>
      </c>
      <c r="AM26" s="150">
        <v>14800</v>
      </c>
      <c r="AN26" s="92"/>
      <c r="AO26" s="92"/>
      <c r="AP26" s="93"/>
      <c r="AR26" s="57" t="s">
        <v>44</v>
      </c>
      <c r="AS26" s="134">
        <f t="shared" si="0"/>
        <v>556250</v>
      </c>
      <c r="AT26" s="134">
        <f t="shared" si="1"/>
        <v>637500</v>
      </c>
      <c r="AU26" s="134">
        <f t="shared" si="2"/>
        <v>531250</v>
      </c>
      <c r="AV26" s="134">
        <f t="shared" si="3"/>
        <v>562500</v>
      </c>
      <c r="AW26" s="134">
        <f t="shared" si="4"/>
        <v>643750</v>
      </c>
      <c r="AX26" s="134">
        <f t="shared" si="5"/>
        <v>700000</v>
      </c>
      <c r="AY26" s="134">
        <f t="shared" si="6"/>
        <v>737500</v>
      </c>
      <c r="AZ26" s="134">
        <f t="shared" si="7"/>
        <v>781250</v>
      </c>
      <c r="BA26" s="170">
        <v>731250</v>
      </c>
      <c r="BB26" s="134">
        <f t="shared" si="16"/>
        <v>843750</v>
      </c>
      <c r="BC26" s="276">
        <f t="shared" si="17"/>
        <v>925000</v>
      </c>
      <c r="BD26" s="275"/>
      <c r="BE26" s="275"/>
      <c r="BF26" s="275"/>
      <c r="BH26" s="134">
        <f t="shared" si="8"/>
        <v>76863.636363636368</v>
      </c>
      <c r="BI26" s="134">
        <f t="shared" si="9"/>
        <v>88090.909090909103</v>
      </c>
      <c r="BJ26" s="134">
        <f t="shared" si="10"/>
        <v>73409.090909090912</v>
      </c>
      <c r="BK26" s="134">
        <f t="shared" si="11"/>
        <v>77727.272727272721</v>
      </c>
      <c r="BL26" s="134">
        <f t="shared" si="12"/>
        <v>88954.545454545456</v>
      </c>
      <c r="BM26" s="134">
        <f t="shared" si="13"/>
        <v>96727.272727272721</v>
      </c>
      <c r="BN26" s="134">
        <f t="shared" si="14"/>
        <v>101909.0909090909</v>
      </c>
      <c r="BO26" s="134">
        <f t="shared" si="15"/>
        <v>107954.54545454546</v>
      </c>
      <c r="BP26" s="170">
        <v>101045.45454545454</v>
      </c>
      <c r="BQ26" s="134">
        <f t="shared" si="18"/>
        <v>116590.9090909091</v>
      </c>
      <c r="BR26" s="170">
        <f t="shared" si="19"/>
        <v>127818.18181818182</v>
      </c>
    </row>
    <row r="27" spans="1:70" ht="17.25" customHeight="1" x14ac:dyDescent="0.2">
      <c r="A27" s="10" t="s">
        <v>45</v>
      </c>
      <c r="B27" s="129" t="s">
        <v>17</v>
      </c>
      <c r="C27" s="137">
        <v>2120000</v>
      </c>
      <c r="D27" s="134">
        <v>276000</v>
      </c>
      <c r="E27" s="141">
        <v>21200</v>
      </c>
      <c r="F27" s="134">
        <v>212000</v>
      </c>
      <c r="G27" s="134">
        <v>87700</v>
      </c>
      <c r="H27" s="141">
        <v>700</v>
      </c>
      <c r="I27" s="134">
        <v>2332000</v>
      </c>
      <c r="J27" s="134">
        <v>363700</v>
      </c>
      <c r="K27" s="144">
        <v>21900</v>
      </c>
      <c r="L27" s="24"/>
      <c r="M27" s="66" t="s">
        <v>17</v>
      </c>
      <c r="N27" s="63">
        <v>52.36</v>
      </c>
      <c r="O27" s="63">
        <v>30.51</v>
      </c>
      <c r="P27" s="67">
        <v>38.020000000000003</v>
      </c>
      <c r="Q27" s="23"/>
      <c r="R27" s="66" t="s">
        <v>17</v>
      </c>
      <c r="S27" s="63">
        <v>4.1399999999999997</v>
      </c>
      <c r="T27" s="67">
        <v>1.7</v>
      </c>
      <c r="U27" s="32"/>
      <c r="V27" s="61" t="s">
        <v>45</v>
      </c>
      <c r="W27" s="60" t="s">
        <v>17</v>
      </c>
      <c r="X27" s="149">
        <v>53700</v>
      </c>
      <c r="Y27" s="101">
        <v>57100</v>
      </c>
      <c r="Z27" s="101">
        <v>59900</v>
      </c>
      <c r="AA27" s="101">
        <v>65000</v>
      </c>
      <c r="AB27" s="101">
        <v>71700</v>
      </c>
      <c r="AC27" s="101">
        <v>78000</v>
      </c>
      <c r="AD27" s="101">
        <v>77900</v>
      </c>
      <c r="AE27" s="101">
        <v>74200</v>
      </c>
      <c r="AF27" s="101">
        <v>79200</v>
      </c>
      <c r="AG27" s="101">
        <v>83100</v>
      </c>
      <c r="AH27" s="101">
        <v>83000</v>
      </c>
      <c r="AI27" s="101">
        <v>85300</v>
      </c>
      <c r="AJ27" s="101">
        <v>89500</v>
      </c>
      <c r="AK27" s="101">
        <v>91500</v>
      </c>
      <c r="AL27" s="101">
        <v>90700</v>
      </c>
      <c r="AM27" s="101">
        <v>92800</v>
      </c>
      <c r="AN27" s="101"/>
      <c r="AO27" s="101"/>
      <c r="AP27" s="127"/>
      <c r="AR27" s="56" t="s">
        <v>45</v>
      </c>
      <c r="AS27" s="134">
        <f t="shared" si="0"/>
        <v>3387262.5698324023</v>
      </c>
      <c r="AT27" s="134">
        <f t="shared" si="1"/>
        <v>3382919.9255121043</v>
      </c>
      <c r="AU27" s="134">
        <f t="shared" si="2"/>
        <v>3222242.0856610802</v>
      </c>
      <c r="AV27" s="134">
        <f t="shared" si="3"/>
        <v>3439374.3016759777</v>
      </c>
      <c r="AW27" s="134">
        <f t="shared" si="4"/>
        <v>3608737.4301675977</v>
      </c>
      <c r="AX27" s="134">
        <f t="shared" si="5"/>
        <v>3604394.7858472997</v>
      </c>
      <c r="AY27" s="134">
        <f t="shared" si="6"/>
        <v>3704275.605214153</v>
      </c>
      <c r="AZ27" s="134">
        <f t="shared" si="7"/>
        <v>3886666.666666667</v>
      </c>
      <c r="BA27" s="170">
        <v>3621765.3631284917</v>
      </c>
      <c r="BB27" s="134">
        <f t="shared" si="16"/>
        <v>3938778.3985102423</v>
      </c>
      <c r="BC27" s="276">
        <f t="shared" si="17"/>
        <v>4029973.9292364991</v>
      </c>
      <c r="BD27" s="275"/>
      <c r="BE27" s="275"/>
      <c r="BF27" s="275"/>
      <c r="BH27" s="134">
        <f t="shared" si="8"/>
        <v>528279.32960893854</v>
      </c>
      <c r="BI27" s="134">
        <f t="shared" si="9"/>
        <v>527602.04841713223</v>
      </c>
      <c r="BJ27" s="134">
        <f t="shared" si="10"/>
        <v>502542.64432029793</v>
      </c>
      <c r="BK27" s="134">
        <f t="shared" si="11"/>
        <v>536406.70391061448</v>
      </c>
      <c r="BL27" s="134">
        <f t="shared" si="12"/>
        <v>562820.67039106146</v>
      </c>
      <c r="BM27" s="134">
        <f t="shared" si="13"/>
        <v>562143.38919925515</v>
      </c>
      <c r="BN27" s="134">
        <f t="shared" si="14"/>
        <v>577720.85661080072</v>
      </c>
      <c r="BO27" s="134">
        <f t="shared" si="15"/>
        <v>606166.66666666674</v>
      </c>
      <c r="BP27" s="170">
        <v>564852.5139664805</v>
      </c>
      <c r="BQ27" s="134">
        <f t="shared" si="18"/>
        <v>614294.04096834268</v>
      </c>
      <c r="BR27" s="170">
        <f t="shared" si="19"/>
        <v>628516.94599627564</v>
      </c>
    </row>
    <row r="28" spans="1:70" ht="17.25" customHeight="1" x14ac:dyDescent="0.2">
      <c r="A28" s="10" t="s">
        <v>43</v>
      </c>
      <c r="B28" s="129" t="s">
        <v>15</v>
      </c>
      <c r="C28" s="137">
        <v>250000</v>
      </c>
      <c r="D28" s="134">
        <v>32000</v>
      </c>
      <c r="E28" s="141">
        <v>2500</v>
      </c>
      <c r="F28" s="134">
        <v>25000</v>
      </c>
      <c r="G28" s="134">
        <v>4700</v>
      </c>
      <c r="H28" s="141">
        <v>200</v>
      </c>
      <c r="I28" s="134">
        <v>275000</v>
      </c>
      <c r="J28" s="134">
        <v>36700</v>
      </c>
      <c r="K28" s="144">
        <v>2700</v>
      </c>
      <c r="L28" s="24"/>
      <c r="M28" s="66" t="s">
        <v>15</v>
      </c>
      <c r="N28" s="63">
        <v>16.149999999999999</v>
      </c>
      <c r="O28" s="63">
        <v>9.41</v>
      </c>
      <c r="P28" s="67">
        <v>11.73</v>
      </c>
      <c r="Q28" s="23"/>
      <c r="R28" s="66" t="s">
        <v>15</v>
      </c>
      <c r="S28" s="63">
        <v>1.78</v>
      </c>
      <c r="T28" s="67">
        <v>0.73</v>
      </c>
      <c r="U28" s="32"/>
      <c r="V28" s="90" t="s">
        <v>43</v>
      </c>
      <c r="W28" s="91" t="s">
        <v>15</v>
      </c>
      <c r="X28" s="150">
        <v>4200</v>
      </c>
      <c r="Y28" s="100">
        <v>4300</v>
      </c>
      <c r="Z28" s="150">
        <v>4900</v>
      </c>
      <c r="AA28" s="150">
        <v>5800</v>
      </c>
      <c r="AB28" s="150">
        <v>7200</v>
      </c>
      <c r="AC28" s="150">
        <v>9600</v>
      </c>
      <c r="AD28" s="150">
        <v>11200</v>
      </c>
      <c r="AE28" s="150">
        <v>8800</v>
      </c>
      <c r="AF28" s="150">
        <v>8500</v>
      </c>
      <c r="AG28" s="150">
        <v>9800</v>
      </c>
      <c r="AH28" s="150">
        <v>10800</v>
      </c>
      <c r="AI28" s="150">
        <v>11300</v>
      </c>
      <c r="AJ28" s="150">
        <v>11800</v>
      </c>
      <c r="AK28" s="150">
        <v>12300</v>
      </c>
      <c r="AL28" s="150">
        <v>12700</v>
      </c>
      <c r="AM28" s="150">
        <v>13900</v>
      </c>
      <c r="AN28" s="92"/>
      <c r="AO28" s="92"/>
      <c r="AP28" s="93"/>
      <c r="AR28" s="57" t="s">
        <v>43</v>
      </c>
      <c r="AS28" s="134">
        <f t="shared" si="0"/>
        <v>628571.42857142852</v>
      </c>
      <c r="AT28" s="134">
        <f t="shared" si="1"/>
        <v>733333.33333333326</v>
      </c>
      <c r="AU28" s="134">
        <f t="shared" si="2"/>
        <v>576190.47619047621</v>
      </c>
      <c r="AV28" s="134">
        <f t="shared" si="3"/>
        <v>556547.61904761905</v>
      </c>
      <c r="AW28" s="134">
        <f t="shared" si="4"/>
        <v>641666.66666666674</v>
      </c>
      <c r="AX28" s="134">
        <f t="shared" si="5"/>
        <v>707142.85714285716</v>
      </c>
      <c r="AY28" s="134">
        <f t="shared" si="6"/>
        <v>739880.95238095243</v>
      </c>
      <c r="AZ28" s="134">
        <f t="shared" si="7"/>
        <v>772619.04761904757</v>
      </c>
      <c r="BA28" s="170">
        <v>759523.80952380947</v>
      </c>
      <c r="BB28" s="134">
        <f t="shared" si="16"/>
        <v>831547.61904761905</v>
      </c>
      <c r="BC28" s="276">
        <f t="shared" si="17"/>
        <v>910119.04761904757</v>
      </c>
      <c r="BD28" s="275"/>
      <c r="BE28" s="275"/>
      <c r="BF28" s="275"/>
      <c r="BH28" s="134">
        <f t="shared" si="8"/>
        <v>83885.714285714275</v>
      </c>
      <c r="BI28" s="134">
        <f t="shared" si="9"/>
        <v>97866.666666666657</v>
      </c>
      <c r="BJ28" s="134">
        <f t="shared" si="10"/>
        <v>76895.238095238106</v>
      </c>
      <c r="BK28" s="134">
        <f t="shared" si="11"/>
        <v>74273.809523809527</v>
      </c>
      <c r="BL28" s="134">
        <f t="shared" si="12"/>
        <v>85633.333333333343</v>
      </c>
      <c r="BM28" s="134">
        <f t="shared" si="13"/>
        <v>94371.42857142858</v>
      </c>
      <c r="BN28" s="134">
        <f t="shared" si="14"/>
        <v>98740.476190476198</v>
      </c>
      <c r="BO28" s="134">
        <f t="shared" si="15"/>
        <v>103109.5238095238</v>
      </c>
      <c r="BP28" s="170">
        <v>101361.90476190476</v>
      </c>
      <c r="BQ28" s="134">
        <f t="shared" si="18"/>
        <v>110973.80952380953</v>
      </c>
      <c r="BR28" s="170">
        <f t="shared" si="19"/>
        <v>121459.5238095238</v>
      </c>
    </row>
    <row r="29" spans="1:70" ht="17.25" customHeight="1" x14ac:dyDescent="0.2">
      <c r="A29" s="10" t="s">
        <v>56</v>
      </c>
      <c r="B29" s="129" t="s">
        <v>283</v>
      </c>
      <c r="C29" s="137">
        <v>1620000</v>
      </c>
      <c r="D29" s="134">
        <v>211000</v>
      </c>
      <c r="E29" s="141">
        <v>16200</v>
      </c>
      <c r="F29" s="134">
        <v>162000</v>
      </c>
      <c r="G29" s="134">
        <v>25600</v>
      </c>
      <c r="H29" s="141">
        <v>2800</v>
      </c>
      <c r="I29" s="134">
        <v>1782000</v>
      </c>
      <c r="J29" s="134">
        <v>236600</v>
      </c>
      <c r="K29" s="144">
        <v>19000</v>
      </c>
      <c r="L29" s="24"/>
      <c r="M29" s="66" t="s">
        <v>283</v>
      </c>
      <c r="N29" s="63">
        <v>38.56</v>
      </c>
      <c r="O29" s="63">
        <v>22.47</v>
      </c>
      <c r="P29" s="67">
        <v>28</v>
      </c>
      <c r="Q29" s="23"/>
      <c r="R29" s="66" t="s">
        <v>283</v>
      </c>
      <c r="S29" s="63">
        <v>3.35</v>
      </c>
      <c r="T29" s="67">
        <v>1.38</v>
      </c>
      <c r="U29" s="32"/>
      <c r="V29" s="61" t="s">
        <v>56</v>
      </c>
      <c r="W29" s="60" t="s">
        <v>283</v>
      </c>
      <c r="X29" s="149">
        <v>28800</v>
      </c>
      <c r="Y29" s="101">
        <v>29400</v>
      </c>
      <c r="Z29" s="149">
        <v>30200</v>
      </c>
      <c r="AA29" s="149">
        <v>31500</v>
      </c>
      <c r="AB29" s="149">
        <v>33100</v>
      </c>
      <c r="AC29" s="149">
        <v>34900</v>
      </c>
      <c r="AD29" s="149">
        <v>38900</v>
      </c>
      <c r="AE29" s="149">
        <v>37400</v>
      </c>
      <c r="AF29" s="149">
        <v>38000</v>
      </c>
      <c r="AG29" s="149">
        <v>38500</v>
      </c>
      <c r="AH29" s="149">
        <v>38500</v>
      </c>
      <c r="AI29" s="149">
        <v>38900</v>
      </c>
      <c r="AJ29" s="149">
        <v>39300</v>
      </c>
      <c r="AK29" s="149">
        <v>40400</v>
      </c>
      <c r="AL29" s="149">
        <v>41300</v>
      </c>
      <c r="AM29" s="149">
        <v>42800</v>
      </c>
      <c r="AN29" s="101"/>
      <c r="AO29" s="101"/>
      <c r="AP29" s="127"/>
      <c r="AR29" s="57" t="s">
        <v>56</v>
      </c>
      <c r="AS29" s="134">
        <f t="shared" si="0"/>
        <v>2159437.5</v>
      </c>
      <c r="AT29" s="134">
        <f t="shared" si="1"/>
        <v>2406937.5</v>
      </c>
      <c r="AU29" s="134">
        <f t="shared" si="2"/>
        <v>2314125</v>
      </c>
      <c r="AV29" s="134">
        <f t="shared" si="3"/>
        <v>2351250</v>
      </c>
      <c r="AW29" s="134">
        <f t="shared" si="4"/>
        <v>2382187.5</v>
      </c>
      <c r="AX29" s="134">
        <f t="shared" si="5"/>
        <v>2382187.5</v>
      </c>
      <c r="AY29" s="134">
        <f t="shared" si="6"/>
        <v>2406937.5</v>
      </c>
      <c r="AZ29" s="134">
        <f t="shared" si="7"/>
        <v>2431687.5</v>
      </c>
      <c r="BA29" s="170">
        <v>2221312.5</v>
      </c>
      <c r="BB29" s="134">
        <f t="shared" si="16"/>
        <v>2555437.5</v>
      </c>
      <c r="BC29" s="276">
        <f t="shared" si="17"/>
        <v>2648250</v>
      </c>
      <c r="BD29" s="275"/>
      <c r="BE29" s="275"/>
      <c r="BF29" s="275"/>
      <c r="BH29" s="134">
        <f t="shared" si="8"/>
        <v>286713.19444444444</v>
      </c>
      <c r="BI29" s="134">
        <f t="shared" si="9"/>
        <v>319574.30555555556</v>
      </c>
      <c r="BJ29" s="134">
        <f t="shared" si="10"/>
        <v>307251.38888888888</v>
      </c>
      <c r="BK29" s="134">
        <f t="shared" si="11"/>
        <v>312180.55555555556</v>
      </c>
      <c r="BL29" s="134">
        <f t="shared" si="12"/>
        <v>316288.19444444444</v>
      </c>
      <c r="BM29" s="134">
        <f t="shared" si="13"/>
        <v>316288.19444444444</v>
      </c>
      <c r="BN29" s="134">
        <f t="shared" si="14"/>
        <v>319574.30555555556</v>
      </c>
      <c r="BO29" s="134">
        <f t="shared" si="15"/>
        <v>322860.41666666663</v>
      </c>
      <c r="BP29" s="170">
        <v>294928.47222222219</v>
      </c>
      <c r="BQ29" s="134">
        <f t="shared" si="18"/>
        <v>339290.97222222219</v>
      </c>
      <c r="BR29" s="170">
        <f t="shared" si="19"/>
        <v>351613.88888888888</v>
      </c>
    </row>
    <row r="30" spans="1:70" ht="17.25" customHeight="1" x14ac:dyDescent="0.2">
      <c r="A30" s="10" t="s">
        <v>46</v>
      </c>
      <c r="B30" s="129" t="s">
        <v>18</v>
      </c>
      <c r="C30" s="137">
        <v>2630000</v>
      </c>
      <c r="D30" s="134">
        <v>342000</v>
      </c>
      <c r="E30" s="141">
        <v>26300</v>
      </c>
      <c r="F30" s="134">
        <v>263000</v>
      </c>
      <c r="G30" s="134">
        <v>6400</v>
      </c>
      <c r="H30" s="141">
        <v>2800</v>
      </c>
      <c r="I30" s="134">
        <v>2893000</v>
      </c>
      <c r="J30" s="134">
        <v>406000</v>
      </c>
      <c r="K30" s="144">
        <v>29100</v>
      </c>
      <c r="L30" s="24"/>
      <c r="M30" s="66" t="s">
        <v>18</v>
      </c>
      <c r="N30" s="65">
        <f>AVERAGE(N16,N20,N34)</f>
        <v>41.306666666666665</v>
      </c>
      <c r="O30" s="65">
        <f>AVERAGE(O16,O20,O34)</f>
        <v>24.073333333333334</v>
      </c>
      <c r="P30" s="69">
        <f>AVERAGE(P16,P20,P34)</f>
        <v>29.996666666666666</v>
      </c>
      <c r="Q30" s="23"/>
      <c r="R30" s="66" t="s">
        <v>18</v>
      </c>
      <c r="S30" s="65">
        <f>AVERAGE(S16,S20,S34)</f>
        <v>3.5</v>
      </c>
      <c r="T30" s="69">
        <f>AVERAGE(T16,T20,T34)</f>
        <v>1.4366666666666668</v>
      </c>
      <c r="U30" s="32"/>
      <c r="V30" s="90" t="s">
        <v>46</v>
      </c>
      <c r="W30" s="91" t="s">
        <v>18</v>
      </c>
      <c r="X30" s="150">
        <v>45000</v>
      </c>
      <c r="Y30" s="100">
        <v>43600</v>
      </c>
      <c r="Z30" s="150">
        <v>45600</v>
      </c>
      <c r="AA30" s="150">
        <v>52900</v>
      </c>
      <c r="AB30" s="150">
        <v>58100</v>
      </c>
      <c r="AC30" s="150">
        <v>61100</v>
      </c>
      <c r="AD30" s="150">
        <v>66500</v>
      </c>
      <c r="AE30" s="150">
        <v>57700</v>
      </c>
      <c r="AF30" s="150">
        <v>66300</v>
      </c>
      <c r="AG30" s="150">
        <v>72400</v>
      </c>
      <c r="AH30" s="150">
        <v>79100</v>
      </c>
      <c r="AI30" s="150">
        <v>77600</v>
      </c>
      <c r="AJ30" s="150">
        <v>73300</v>
      </c>
      <c r="AK30" s="150">
        <v>67100</v>
      </c>
      <c r="AL30" s="150">
        <v>64100</v>
      </c>
      <c r="AM30" s="150">
        <v>67000</v>
      </c>
      <c r="AN30" s="92"/>
      <c r="AO30" s="92"/>
      <c r="AP30" s="93"/>
      <c r="AR30" s="56" t="s">
        <v>46</v>
      </c>
      <c r="AS30" s="134">
        <f t="shared" si="0"/>
        <v>3928051.111111111</v>
      </c>
      <c r="AT30" s="134">
        <f t="shared" si="1"/>
        <v>4275211.111111111</v>
      </c>
      <c r="AU30" s="134">
        <f t="shared" si="2"/>
        <v>3709468.8888888885</v>
      </c>
      <c r="AV30" s="134">
        <f t="shared" si="3"/>
        <v>4262353.333333333</v>
      </c>
      <c r="AW30" s="134">
        <f t="shared" si="4"/>
        <v>4654515.555555555</v>
      </c>
      <c r="AX30" s="134">
        <f t="shared" si="5"/>
        <v>5085251.111111111</v>
      </c>
      <c r="AY30" s="134">
        <f t="shared" si="6"/>
        <v>4988817.777777778</v>
      </c>
      <c r="AZ30" s="134">
        <f t="shared" si="7"/>
        <v>4712375.555555555</v>
      </c>
      <c r="BA30" s="170">
        <v>4879526.666666667</v>
      </c>
      <c r="BB30" s="134">
        <f t="shared" si="16"/>
        <v>4120917.7777777775</v>
      </c>
      <c r="BC30" s="276">
        <f t="shared" si="17"/>
        <v>4307355.555555556</v>
      </c>
      <c r="BD30" s="275"/>
      <c r="BE30" s="275"/>
      <c r="BF30" s="275"/>
      <c r="BH30" s="134">
        <f t="shared" si="8"/>
        <v>551257.77777777775</v>
      </c>
      <c r="BI30" s="134">
        <f t="shared" si="9"/>
        <v>599977.77777777775</v>
      </c>
      <c r="BJ30" s="134">
        <f t="shared" si="10"/>
        <v>520582.22222222219</v>
      </c>
      <c r="BK30" s="134">
        <f t="shared" si="11"/>
        <v>598173.33333333337</v>
      </c>
      <c r="BL30" s="134">
        <f t="shared" si="12"/>
        <v>653208.88888888888</v>
      </c>
      <c r="BM30" s="134">
        <f t="shared" si="13"/>
        <v>713657.77777777787</v>
      </c>
      <c r="BN30" s="134">
        <f t="shared" si="14"/>
        <v>700124.4444444445</v>
      </c>
      <c r="BO30" s="134">
        <f t="shared" si="15"/>
        <v>661328.88888888888</v>
      </c>
      <c r="BP30" s="170">
        <v>684786.66666666674</v>
      </c>
      <c r="BQ30" s="134">
        <f t="shared" si="18"/>
        <v>578324.44444444438</v>
      </c>
      <c r="BR30" s="170">
        <f t="shared" si="19"/>
        <v>604488.88888888888</v>
      </c>
    </row>
    <row r="31" spans="1:70" ht="17.25" customHeight="1" x14ac:dyDescent="0.2">
      <c r="A31" s="10" t="s">
        <v>48</v>
      </c>
      <c r="B31" s="129" t="s">
        <v>20</v>
      </c>
      <c r="C31" s="137">
        <v>310000</v>
      </c>
      <c r="D31" s="134">
        <v>41000</v>
      </c>
      <c r="E31" s="141">
        <v>3100</v>
      </c>
      <c r="F31" s="134">
        <v>31000</v>
      </c>
      <c r="G31" s="134">
        <v>5500</v>
      </c>
      <c r="H31" s="141">
        <v>200</v>
      </c>
      <c r="I31" s="134">
        <v>341000</v>
      </c>
      <c r="J31" s="134">
        <v>46500</v>
      </c>
      <c r="K31" s="144">
        <v>3300</v>
      </c>
      <c r="L31" s="24"/>
      <c r="M31" s="66" t="s">
        <v>20</v>
      </c>
      <c r="N31" s="63">
        <v>17.72</v>
      </c>
      <c r="O31" s="63">
        <v>10.33</v>
      </c>
      <c r="P31" s="67">
        <v>12.87</v>
      </c>
      <c r="Q31" s="23"/>
      <c r="R31" s="66" t="s">
        <v>20</v>
      </c>
      <c r="S31" s="63">
        <v>1.92</v>
      </c>
      <c r="T31" s="67">
        <v>0.78</v>
      </c>
      <c r="U31" s="32"/>
      <c r="V31" s="61" t="s">
        <v>48</v>
      </c>
      <c r="W31" s="60" t="s">
        <v>20</v>
      </c>
      <c r="X31" s="149">
        <v>5500</v>
      </c>
      <c r="Y31" s="101">
        <v>5000</v>
      </c>
      <c r="Z31" s="149">
        <v>5300</v>
      </c>
      <c r="AA31" s="149">
        <v>6400</v>
      </c>
      <c r="AB31" s="149">
        <v>7100</v>
      </c>
      <c r="AC31" s="149">
        <v>8200</v>
      </c>
      <c r="AD31" s="149">
        <v>9600</v>
      </c>
      <c r="AE31" s="149">
        <v>8200</v>
      </c>
      <c r="AF31" s="149">
        <v>9400</v>
      </c>
      <c r="AG31" s="149">
        <v>9900</v>
      </c>
      <c r="AH31" s="149">
        <v>10100</v>
      </c>
      <c r="AI31" s="149">
        <v>10300</v>
      </c>
      <c r="AJ31" s="149">
        <v>10700</v>
      </c>
      <c r="AK31" s="149">
        <v>11200</v>
      </c>
      <c r="AL31" s="149">
        <v>11100</v>
      </c>
      <c r="AM31" s="149">
        <v>12100</v>
      </c>
      <c r="AN31" s="149"/>
      <c r="AO31" s="101"/>
      <c r="AP31" s="127"/>
      <c r="AR31" s="57" t="s">
        <v>48</v>
      </c>
      <c r="AS31" s="134">
        <f t="shared" si="0"/>
        <v>508400</v>
      </c>
      <c r="AT31" s="134">
        <f t="shared" si="1"/>
        <v>595200</v>
      </c>
      <c r="AU31" s="134">
        <f t="shared" si="2"/>
        <v>508400</v>
      </c>
      <c r="AV31" s="134">
        <f t="shared" si="3"/>
        <v>582800</v>
      </c>
      <c r="AW31" s="134">
        <f t="shared" si="4"/>
        <v>613800</v>
      </c>
      <c r="AX31" s="134">
        <f t="shared" si="5"/>
        <v>626200</v>
      </c>
      <c r="AY31" s="134">
        <f t="shared" si="6"/>
        <v>638600</v>
      </c>
      <c r="AZ31" s="134">
        <f t="shared" si="7"/>
        <v>663400</v>
      </c>
      <c r="BA31" s="170">
        <v>626200</v>
      </c>
      <c r="BB31" s="134">
        <f t="shared" si="16"/>
        <v>688200</v>
      </c>
      <c r="BC31" s="276">
        <f t="shared" si="17"/>
        <v>750200.00000000012</v>
      </c>
      <c r="BD31" s="275"/>
      <c r="BE31" s="275"/>
      <c r="BF31" s="275"/>
      <c r="BH31" s="134">
        <f t="shared" si="8"/>
        <v>69327.272727272735</v>
      </c>
      <c r="BI31" s="134">
        <f t="shared" si="9"/>
        <v>81163.636363636353</v>
      </c>
      <c r="BJ31" s="134">
        <f t="shared" si="10"/>
        <v>69327.272727272735</v>
      </c>
      <c r="BK31" s="134">
        <f t="shared" si="11"/>
        <v>79472.727272727265</v>
      </c>
      <c r="BL31" s="134">
        <f t="shared" si="12"/>
        <v>83700</v>
      </c>
      <c r="BM31" s="134">
        <f t="shared" si="13"/>
        <v>85390.909090909088</v>
      </c>
      <c r="BN31" s="134">
        <f t="shared" si="14"/>
        <v>87081.818181818191</v>
      </c>
      <c r="BO31" s="134">
        <f t="shared" si="15"/>
        <v>90463.636363636368</v>
      </c>
      <c r="BP31" s="170">
        <v>85390.909090909088</v>
      </c>
      <c r="BQ31" s="134">
        <f t="shared" si="18"/>
        <v>93845.454545454544</v>
      </c>
      <c r="BR31" s="170">
        <f t="shared" si="19"/>
        <v>102300.00000000001</v>
      </c>
    </row>
    <row r="32" spans="1:70" ht="17.25" customHeight="1" x14ac:dyDescent="0.2">
      <c r="A32" s="10" t="s">
        <v>49</v>
      </c>
      <c r="B32" s="129" t="s">
        <v>21</v>
      </c>
      <c r="C32" s="137">
        <v>730000</v>
      </c>
      <c r="D32" s="134">
        <v>95000</v>
      </c>
      <c r="E32" s="141">
        <v>7300</v>
      </c>
      <c r="F32" s="134">
        <v>73000</v>
      </c>
      <c r="G32" s="134">
        <v>12400</v>
      </c>
      <c r="H32" s="141">
        <v>100</v>
      </c>
      <c r="I32" s="134">
        <v>803000</v>
      </c>
      <c r="J32" s="134">
        <v>107400</v>
      </c>
      <c r="K32" s="144">
        <v>7400</v>
      </c>
      <c r="L32" s="24"/>
      <c r="M32" s="66" t="s">
        <v>21</v>
      </c>
      <c r="N32" s="63">
        <v>26.63</v>
      </c>
      <c r="O32" s="63">
        <v>15.52</v>
      </c>
      <c r="P32" s="67">
        <v>19.34</v>
      </c>
      <c r="Q32" s="23"/>
      <c r="R32" s="66" t="s">
        <v>21</v>
      </c>
      <c r="S32" s="63">
        <v>2.58</v>
      </c>
      <c r="T32" s="67">
        <v>1.06</v>
      </c>
      <c r="U32" s="32"/>
      <c r="V32" s="90" t="s">
        <v>49</v>
      </c>
      <c r="W32" s="91" t="s">
        <v>21</v>
      </c>
      <c r="X32" s="150">
        <v>13600</v>
      </c>
      <c r="Y32" s="100">
        <v>13700</v>
      </c>
      <c r="Z32" s="150">
        <v>14200</v>
      </c>
      <c r="AA32" s="150">
        <v>14600</v>
      </c>
      <c r="AB32" s="150">
        <v>15200</v>
      </c>
      <c r="AC32" s="150">
        <v>16000</v>
      </c>
      <c r="AD32" s="150">
        <v>16900</v>
      </c>
      <c r="AE32" s="150">
        <v>16600</v>
      </c>
      <c r="AF32" s="150">
        <v>17000</v>
      </c>
      <c r="AG32" s="150">
        <v>16700</v>
      </c>
      <c r="AH32" s="150">
        <v>16000</v>
      </c>
      <c r="AI32" s="150">
        <v>16300</v>
      </c>
      <c r="AJ32" s="150">
        <v>16600</v>
      </c>
      <c r="AK32" s="150">
        <v>17400</v>
      </c>
      <c r="AL32" s="150">
        <v>18000</v>
      </c>
      <c r="AM32" s="150">
        <v>18700</v>
      </c>
      <c r="AN32" s="150"/>
      <c r="AO32" s="92"/>
      <c r="AP32" s="93"/>
      <c r="AR32" s="56" t="s">
        <v>49</v>
      </c>
      <c r="AS32" s="134">
        <f t="shared" si="0"/>
        <v>944705.8823529412</v>
      </c>
      <c r="AT32" s="134">
        <f t="shared" si="1"/>
        <v>997845.5882352941</v>
      </c>
      <c r="AU32" s="134">
        <f t="shared" si="2"/>
        <v>980132.3529411765</v>
      </c>
      <c r="AV32" s="134">
        <f t="shared" si="3"/>
        <v>1003750</v>
      </c>
      <c r="AW32" s="134">
        <f t="shared" si="4"/>
        <v>986036.76470588241</v>
      </c>
      <c r="AX32" s="134">
        <f t="shared" si="5"/>
        <v>944705.8823529412</v>
      </c>
      <c r="AY32" s="134">
        <f t="shared" si="6"/>
        <v>962419.1176470588</v>
      </c>
      <c r="AZ32" s="134">
        <f t="shared" si="7"/>
        <v>980132.3529411765</v>
      </c>
      <c r="BA32" s="170">
        <v>932897.05882352951</v>
      </c>
      <c r="BB32" s="134">
        <f t="shared" si="16"/>
        <v>1062794.1176470588</v>
      </c>
      <c r="BC32" s="276">
        <f t="shared" si="17"/>
        <v>1104125</v>
      </c>
      <c r="BD32" s="275"/>
      <c r="BE32" s="275"/>
      <c r="BF32" s="275"/>
      <c r="BH32" s="134">
        <f t="shared" si="8"/>
        <v>126352.94117647059</v>
      </c>
      <c r="BI32" s="134">
        <f t="shared" si="9"/>
        <v>133460.29411764705</v>
      </c>
      <c r="BJ32" s="134">
        <f t="shared" si="10"/>
        <v>131091.17647058825</v>
      </c>
      <c r="BK32" s="134">
        <f t="shared" si="11"/>
        <v>134250</v>
      </c>
      <c r="BL32" s="134">
        <f t="shared" si="12"/>
        <v>131880.88235294117</v>
      </c>
      <c r="BM32" s="134">
        <f t="shared" si="13"/>
        <v>126352.94117647059</v>
      </c>
      <c r="BN32" s="134">
        <f t="shared" si="14"/>
        <v>128722.05882352941</v>
      </c>
      <c r="BO32" s="134">
        <f t="shared" si="15"/>
        <v>131091.17647058825</v>
      </c>
      <c r="BP32" s="170">
        <v>124773.52941176471</v>
      </c>
      <c r="BQ32" s="134">
        <f t="shared" si="18"/>
        <v>142147.0588235294</v>
      </c>
      <c r="BR32" s="170">
        <f t="shared" si="19"/>
        <v>147675</v>
      </c>
    </row>
    <row r="33" spans="1:70" ht="17.25" customHeight="1" x14ac:dyDescent="0.2">
      <c r="A33" s="10" t="s">
        <v>50</v>
      </c>
      <c r="B33" s="129" t="s">
        <v>22</v>
      </c>
      <c r="C33" s="137">
        <f>(C23+C36)/2</f>
        <v>340000</v>
      </c>
      <c r="D33" s="134">
        <f t="shared" ref="D33:K33" si="24">(D23+D36)/2</f>
        <v>44000</v>
      </c>
      <c r="E33" s="141">
        <f t="shared" si="24"/>
        <v>3400</v>
      </c>
      <c r="F33" s="134">
        <f t="shared" si="24"/>
        <v>34000</v>
      </c>
      <c r="G33" s="134">
        <f t="shared" si="24"/>
        <v>6550</v>
      </c>
      <c r="H33" s="141">
        <f t="shared" si="24"/>
        <v>250</v>
      </c>
      <c r="I33" s="134">
        <f t="shared" si="24"/>
        <v>374000</v>
      </c>
      <c r="J33" s="134">
        <f t="shared" si="24"/>
        <v>50550</v>
      </c>
      <c r="K33" s="144">
        <f t="shared" si="24"/>
        <v>3650</v>
      </c>
      <c r="L33" s="24"/>
      <c r="M33" s="66" t="s">
        <v>22</v>
      </c>
      <c r="N33" s="64">
        <f>AVERAGE(N23,N36)</f>
        <v>17.82</v>
      </c>
      <c r="O33" s="64">
        <f>AVERAGE(O23,O36)</f>
        <v>10.385</v>
      </c>
      <c r="P33" s="68">
        <f>AVERAGE(P23,P36)</f>
        <v>12.94</v>
      </c>
      <c r="Q33" s="23"/>
      <c r="R33" s="66" t="s">
        <v>22</v>
      </c>
      <c r="S33" s="64">
        <f>AVERAGE(S23,S36)</f>
        <v>1.925</v>
      </c>
      <c r="T33" s="68">
        <f>AVERAGE(T23,T36)</f>
        <v>0.79499999999999993</v>
      </c>
      <c r="U33" s="32"/>
      <c r="V33" s="61" t="s">
        <v>50</v>
      </c>
      <c r="W33" s="60" t="s">
        <v>22</v>
      </c>
      <c r="X33" s="149">
        <v>2200</v>
      </c>
      <c r="Y33" s="101">
        <v>2400</v>
      </c>
      <c r="Z33" s="149">
        <v>2800</v>
      </c>
      <c r="AA33" s="149">
        <v>3700</v>
      </c>
      <c r="AB33" s="149">
        <v>4600</v>
      </c>
      <c r="AC33" s="149">
        <v>6000</v>
      </c>
      <c r="AD33" s="149">
        <v>7100</v>
      </c>
      <c r="AE33" s="149">
        <v>6100</v>
      </c>
      <c r="AF33" s="149">
        <v>6200</v>
      </c>
      <c r="AG33" s="149">
        <v>6600</v>
      </c>
      <c r="AH33" s="149">
        <v>6700</v>
      </c>
      <c r="AI33" s="149">
        <v>7200</v>
      </c>
      <c r="AJ33" s="149">
        <v>7500</v>
      </c>
      <c r="AK33" s="149">
        <v>8100</v>
      </c>
      <c r="AL33" s="149">
        <v>8600</v>
      </c>
      <c r="AM33" s="149">
        <v>9600</v>
      </c>
      <c r="AN33" s="149"/>
      <c r="AO33" s="101"/>
      <c r="AP33" s="127"/>
      <c r="AR33" s="57" t="s">
        <v>50</v>
      </c>
      <c r="AS33" s="134">
        <f t="shared" si="0"/>
        <v>1019999.9999999999</v>
      </c>
      <c r="AT33" s="134">
        <f t="shared" si="1"/>
        <v>1207000</v>
      </c>
      <c r="AU33" s="134">
        <f t="shared" si="2"/>
        <v>1037000.0000000001</v>
      </c>
      <c r="AV33" s="134">
        <f t="shared" si="3"/>
        <v>1054000</v>
      </c>
      <c r="AW33" s="134">
        <f t="shared" si="4"/>
        <v>1122000</v>
      </c>
      <c r="AX33" s="134">
        <f t="shared" si="5"/>
        <v>1139000</v>
      </c>
      <c r="AY33" s="134">
        <f t="shared" si="6"/>
        <v>1224000</v>
      </c>
      <c r="AZ33" s="134">
        <f t="shared" si="7"/>
        <v>1275000</v>
      </c>
      <c r="BA33" s="170">
        <v>1113500</v>
      </c>
      <c r="BB33" s="134">
        <f t="shared" si="16"/>
        <v>1462000</v>
      </c>
      <c r="BC33" s="276">
        <f t="shared" si="17"/>
        <v>1631999.9999999998</v>
      </c>
      <c r="BD33" s="275"/>
      <c r="BE33" s="275"/>
      <c r="BF33" s="275"/>
      <c r="BH33" s="134">
        <f t="shared" si="8"/>
        <v>137863.63636363635</v>
      </c>
      <c r="BI33" s="134">
        <f t="shared" si="9"/>
        <v>163138.63636363635</v>
      </c>
      <c r="BJ33" s="134">
        <f t="shared" si="10"/>
        <v>140161.36363636365</v>
      </c>
      <c r="BK33" s="134">
        <f t="shared" si="11"/>
        <v>142459.09090909091</v>
      </c>
      <c r="BL33" s="134">
        <f t="shared" si="12"/>
        <v>151650</v>
      </c>
      <c r="BM33" s="134">
        <f t="shared" si="13"/>
        <v>153947.72727272726</v>
      </c>
      <c r="BN33" s="134">
        <f t="shared" si="14"/>
        <v>165436.36363636365</v>
      </c>
      <c r="BO33" s="134">
        <f t="shared" si="15"/>
        <v>172329.54545454547</v>
      </c>
      <c r="BP33" s="170">
        <v>150501.13636363635</v>
      </c>
      <c r="BQ33" s="134">
        <f t="shared" si="18"/>
        <v>197604.54545454547</v>
      </c>
      <c r="BR33" s="170">
        <f t="shared" si="19"/>
        <v>220581.81818181818</v>
      </c>
    </row>
    <row r="34" spans="1:70" ht="17.25" customHeight="1" x14ac:dyDescent="0.2">
      <c r="A34" s="10" t="s">
        <v>54</v>
      </c>
      <c r="B34" s="129" t="s">
        <v>26</v>
      </c>
      <c r="C34" s="137">
        <v>1700000</v>
      </c>
      <c r="D34" s="134">
        <v>220000</v>
      </c>
      <c r="E34" s="141">
        <v>17000</v>
      </c>
      <c r="F34" s="134">
        <v>170000</v>
      </c>
      <c r="G34" s="134">
        <v>53300</v>
      </c>
      <c r="H34" s="141">
        <v>2700</v>
      </c>
      <c r="I34" s="134">
        <v>1870000</v>
      </c>
      <c r="J34" s="134">
        <v>273300</v>
      </c>
      <c r="K34" s="144">
        <v>19700</v>
      </c>
      <c r="L34" s="24"/>
      <c r="M34" s="66" t="s">
        <v>26</v>
      </c>
      <c r="N34" s="63">
        <v>41.72</v>
      </c>
      <c r="O34" s="63">
        <v>24.32</v>
      </c>
      <c r="P34" s="67">
        <v>30.3</v>
      </c>
      <c r="Q34" s="23"/>
      <c r="R34" s="66" t="s">
        <v>26</v>
      </c>
      <c r="S34" s="63">
        <v>3.53</v>
      </c>
      <c r="T34" s="67">
        <v>1.45</v>
      </c>
      <c r="U34" s="32"/>
      <c r="V34" s="90" t="s">
        <v>54</v>
      </c>
      <c r="W34" s="91" t="s">
        <v>26</v>
      </c>
      <c r="X34" s="150">
        <v>29900</v>
      </c>
      <c r="Y34" s="100">
        <v>31100</v>
      </c>
      <c r="Z34" s="150">
        <v>32400</v>
      </c>
      <c r="AA34" s="150">
        <v>33000</v>
      </c>
      <c r="AB34" s="150">
        <v>35000</v>
      </c>
      <c r="AC34" s="150">
        <v>36900</v>
      </c>
      <c r="AD34" s="150">
        <v>38200</v>
      </c>
      <c r="AE34" s="150">
        <v>33300</v>
      </c>
      <c r="AF34" s="150">
        <v>39400</v>
      </c>
      <c r="AG34" s="150">
        <v>42900</v>
      </c>
      <c r="AH34" s="150">
        <v>44500</v>
      </c>
      <c r="AI34" s="150">
        <v>45400</v>
      </c>
      <c r="AJ34" s="150">
        <v>44600</v>
      </c>
      <c r="AK34" s="150">
        <v>45800</v>
      </c>
      <c r="AL34" s="150">
        <v>46800</v>
      </c>
      <c r="AM34" s="150">
        <v>47400</v>
      </c>
      <c r="AN34" s="150"/>
      <c r="AO34" s="92"/>
      <c r="AP34" s="93"/>
      <c r="AR34" s="56" t="s">
        <v>54</v>
      </c>
      <c r="AS34" s="134">
        <f t="shared" si="0"/>
        <v>2307792.6421404686</v>
      </c>
      <c r="AT34" s="134">
        <f t="shared" si="1"/>
        <v>2389096.989966555</v>
      </c>
      <c r="AU34" s="134">
        <f t="shared" si="2"/>
        <v>2082642.1404682272</v>
      </c>
      <c r="AV34" s="134">
        <f t="shared" si="3"/>
        <v>2464147.1571906353</v>
      </c>
      <c r="AW34" s="134">
        <f t="shared" si="4"/>
        <v>2683043.4782608696</v>
      </c>
      <c r="AX34" s="134">
        <f t="shared" si="5"/>
        <v>2783110.3678929764</v>
      </c>
      <c r="AY34" s="134">
        <f t="shared" si="6"/>
        <v>2839397.9933110368</v>
      </c>
      <c r="AZ34" s="134">
        <f t="shared" si="7"/>
        <v>2789364.548494983</v>
      </c>
      <c r="BA34" s="170">
        <v>2739331.1036789296</v>
      </c>
      <c r="BB34" s="134">
        <f t="shared" si="16"/>
        <v>2926956.5217391304</v>
      </c>
      <c r="BC34" s="276">
        <f t="shared" si="17"/>
        <v>2964481.6053511705</v>
      </c>
      <c r="BD34" s="275"/>
      <c r="BE34" s="275"/>
      <c r="BF34" s="275"/>
      <c r="BH34" s="134">
        <f t="shared" si="8"/>
        <v>337283.27759197325</v>
      </c>
      <c r="BI34" s="134">
        <f t="shared" si="9"/>
        <v>349165.88628762541</v>
      </c>
      <c r="BJ34" s="134">
        <f t="shared" si="10"/>
        <v>304377.59197324415</v>
      </c>
      <c r="BK34" s="134">
        <f t="shared" si="11"/>
        <v>360134.44816053513</v>
      </c>
      <c r="BL34" s="134">
        <f t="shared" si="12"/>
        <v>392126.08695652173</v>
      </c>
      <c r="BM34" s="134">
        <f t="shared" si="13"/>
        <v>406750.83612040133</v>
      </c>
      <c r="BN34" s="134">
        <f t="shared" si="14"/>
        <v>414977.25752508367</v>
      </c>
      <c r="BO34" s="134">
        <f t="shared" si="15"/>
        <v>407664.88294314378</v>
      </c>
      <c r="BP34" s="170">
        <v>400352.508361204</v>
      </c>
      <c r="BQ34" s="134">
        <f t="shared" si="18"/>
        <v>427773.91304347827</v>
      </c>
      <c r="BR34" s="170">
        <f t="shared" si="19"/>
        <v>433258.1939799331</v>
      </c>
    </row>
    <row r="35" spans="1:70" ht="17.25" customHeight="1" x14ac:dyDescent="0.2">
      <c r="A35" s="10" t="s">
        <v>52</v>
      </c>
      <c r="B35" s="129" t="s">
        <v>24</v>
      </c>
      <c r="C35" s="137">
        <v>690000</v>
      </c>
      <c r="D35" s="134">
        <v>90000</v>
      </c>
      <c r="E35" s="141">
        <v>6900</v>
      </c>
      <c r="F35" s="134">
        <v>69000</v>
      </c>
      <c r="G35" s="134">
        <v>9000</v>
      </c>
      <c r="H35" s="141">
        <v>400</v>
      </c>
      <c r="I35" s="134">
        <v>759000</v>
      </c>
      <c r="J35" s="134">
        <v>99000</v>
      </c>
      <c r="K35" s="144">
        <v>7300</v>
      </c>
      <c r="L35" s="24"/>
      <c r="M35" s="66" t="s">
        <v>24</v>
      </c>
      <c r="N35" s="63">
        <v>25.88</v>
      </c>
      <c r="O35" s="63">
        <v>15.08</v>
      </c>
      <c r="P35" s="67">
        <v>18.8</v>
      </c>
      <c r="Q35" s="23"/>
      <c r="R35" s="66" t="s">
        <v>24</v>
      </c>
      <c r="S35" s="63">
        <v>2.5099999999999998</v>
      </c>
      <c r="T35" s="67">
        <v>1.03</v>
      </c>
      <c r="U35" s="32"/>
      <c r="V35" s="61" t="s">
        <v>52</v>
      </c>
      <c r="W35" s="60" t="s">
        <v>24</v>
      </c>
      <c r="X35" s="149">
        <v>12300</v>
      </c>
      <c r="Y35" s="101">
        <v>12900</v>
      </c>
      <c r="Z35" s="149">
        <v>13600</v>
      </c>
      <c r="AA35" s="149">
        <v>14400</v>
      </c>
      <c r="AB35" s="149">
        <v>15500</v>
      </c>
      <c r="AC35" s="149">
        <v>17100</v>
      </c>
      <c r="AD35" s="149">
        <v>18800</v>
      </c>
      <c r="AE35" s="149">
        <v>17700</v>
      </c>
      <c r="AF35" s="149">
        <v>17700</v>
      </c>
      <c r="AG35" s="149">
        <v>18000</v>
      </c>
      <c r="AH35" s="149">
        <v>17500</v>
      </c>
      <c r="AI35" s="149">
        <v>17600</v>
      </c>
      <c r="AJ35" s="149">
        <v>18200</v>
      </c>
      <c r="AK35" s="149">
        <v>18800</v>
      </c>
      <c r="AL35" s="149">
        <v>19600</v>
      </c>
      <c r="AM35" s="149">
        <v>21000</v>
      </c>
      <c r="AN35" s="101"/>
      <c r="AO35" s="101"/>
      <c r="AP35" s="127"/>
      <c r="AR35" s="57" t="s">
        <v>52</v>
      </c>
      <c r="AS35" s="134">
        <f t="shared" si="0"/>
        <v>1055195.1219512194</v>
      </c>
      <c r="AT35" s="134">
        <f t="shared" si="1"/>
        <v>1160097.5609756098</v>
      </c>
      <c r="AU35" s="134">
        <f t="shared" si="2"/>
        <v>1092219.512195122</v>
      </c>
      <c r="AV35" s="134">
        <f t="shared" si="3"/>
        <v>1092219.512195122</v>
      </c>
      <c r="AW35" s="134">
        <f t="shared" si="4"/>
        <v>1110731.7073170731</v>
      </c>
      <c r="AX35" s="134">
        <f t="shared" si="5"/>
        <v>1079878.0487804879</v>
      </c>
      <c r="AY35" s="134">
        <f t="shared" si="6"/>
        <v>1086048.7804878049</v>
      </c>
      <c r="AZ35" s="134">
        <f t="shared" si="7"/>
        <v>1123073.1707317072</v>
      </c>
      <c r="BA35" s="170">
        <v>1055195.1219512194</v>
      </c>
      <c r="BB35" s="134">
        <f t="shared" si="16"/>
        <v>1209463.4146341463</v>
      </c>
      <c r="BC35" s="276">
        <f t="shared" si="17"/>
        <v>1295853.6585365853</v>
      </c>
      <c r="BD35" s="275"/>
      <c r="BE35" s="275"/>
      <c r="BF35" s="275"/>
      <c r="BH35" s="134">
        <f t="shared" si="8"/>
        <v>137634.14634146341</v>
      </c>
      <c r="BI35" s="134">
        <f t="shared" si="9"/>
        <v>151317.07317073172</v>
      </c>
      <c r="BJ35" s="134">
        <f t="shared" si="10"/>
        <v>142463.41463414635</v>
      </c>
      <c r="BK35" s="134">
        <f t="shared" si="11"/>
        <v>142463.41463414635</v>
      </c>
      <c r="BL35" s="134">
        <f t="shared" si="12"/>
        <v>144878.04878048779</v>
      </c>
      <c r="BM35" s="134">
        <f t="shared" si="13"/>
        <v>140853.65853658537</v>
      </c>
      <c r="BN35" s="134">
        <f t="shared" si="14"/>
        <v>141658.53658536586</v>
      </c>
      <c r="BO35" s="134">
        <f t="shared" si="15"/>
        <v>146487.80487804877</v>
      </c>
      <c r="BP35" s="170">
        <v>137634.14634146341</v>
      </c>
      <c r="BQ35" s="134">
        <f t="shared" si="18"/>
        <v>157756.09756097561</v>
      </c>
      <c r="BR35" s="170">
        <f t="shared" si="19"/>
        <v>169024.39024390242</v>
      </c>
    </row>
    <row r="36" spans="1:70" ht="17.25" customHeight="1" x14ac:dyDescent="0.2">
      <c r="A36" s="55" t="s">
        <v>51</v>
      </c>
      <c r="B36" s="129" t="s">
        <v>284</v>
      </c>
      <c r="C36" s="137">
        <v>280000</v>
      </c>
      <c r="D36" s="134">
        <v>36000</v>
      </c>
      <c r="E36" s="141">
        <v>2800</v>
      </c>
      <c r="F36" s="134">
        <v>28000</v>
      </c>
      <c r="G36" s="134">
        <v>6100</v>
      </c>
      <c r="H36" s="141">
        <v>200</v>
      </c>
      <c r="I36" s="134">
        <v>308000</v>
      </c>
      <c r="J36" s="134">
        <v>42100</v>
      </c>
      <c r="K36" s="144">
        <v>3000</v>
      </c>
      <c r="L36" s="24"/>
      <c r="M36" s="66" t="s">
        <v>284</v>
      </c>
      <c r="N36" s="63">
        <v>17.02</v>
      </c>
      <c r="O36" s="63">
        <v>9.92</v>
      </c>
      <c r="P36" s="67">
        <v>12.36</v>
      </c>
      <c r="Q36" s="23"/>
      <c r="R36" s="66" t="s">
        <v>284</v>
      </c>
      <c r="S36" s="63">
        <v>1.86</v>
      </c>
      <c r="T36" s="67">
        <v>0.77</v>
      </c>
      <c r="V36" s="90" t="s">
        <v>51</v>
      </c>
      <c r="W36" s="91" t="s">
        <v>284</v>
      </c>
      <c r="X36" s="150">
        <v>4800</v>
      </c>
      <c r="Y36" s="100">
        <v>5500</v>
      </c>
      <c r="Z36" s="150">
        <v>6300</v>
      </c>
      <c r="AA36" s="150">
        <v>7100</v>
      </c>
      <c r="AB36" s="150">
        <v>8300</v>
      </c>
      <c r="AC36" s="150">
        <v>10200</v>
      </c>
      <c r="AD36" s="150">
        <v>12200</v>
      </c>
      <c r="AE36" s="150">
        <v>11800</v>
      </c>
      <c r="AF36" s="150">
        <v>12400</v>
      </c>
      <c r="AG36" s="150">
        <v>13100</v>
      </c>
      <c r="AH36" s="150">
        <v>13400</v>
      </c>
      <c r="AI36" s="150">
        <v>13700</v>
      </c>
      <c r="AJ36" s="150">
        <v>14000</v>
      </c>
      <c r="AK36" s="150">
        <v>14600</v>
      </c>
      <c r="AL36" s="150">
        <v>14900</v>
      </c>
      <c r="AM36" s="150">
        <v>15600</v>
      </c>
      <c r="AN36" s="92"/>
      <c r="AO36" s="92"/>
      <c r="AP36" s="93"/>
      <c r="AR36" s="56" t="s">
        <v>51</v>
      </c>
      <c r="AS36" s="134">
        <f t="shared" si="0"/>
        <v>654500</v>
      </c>
      <c r="AT36" s="134">
        <f t="shared" si="1"/>
        <v>782833.33333333326</v>
      </c>
      <c r="AU36" s="134">
        <f t="shared" si="2"/>
        <v>757166.66666666674</v>
      </c>
      <c r="AV36" s="134">
        <f t="shared" si="3"/>
        <v>795666.66666666674</v>
      </c>
      <c r="AW36" s="134">
        <f t="shared" si="4"/>
        <v>840583.33333333326</v>
      </c>
      <c r="AX36" s="134">
        <f t="shared" si="5"/>
        <v>859833.33333333326</v>
      </c>
      <c r="AY36" s="134">
        <f t="shared" si="6"/>
        <v>879083.33333333326</v>
      </c>
      <c r="AZ36" s="134">
        <f t="shared" si="7"/>
        <v>898333.33333333326</v>
      </c>
      <c r="BA36" s="170">
        <v>853416.66666666674</v>
      </c>
      <c r="BB36" s="134">
        <f t="shared" si="16"/>
        <v>956083.33333333326</v>
      </c>
      <c r="BC36" s="276">
        <f t="shared" si="17"/>
        <v>1001000</v>
      </c>
      <c r="BD36" s="275"/>
      <c r="BE36" s="275"/>
      <c r="BF36" s="275"/>
      <c r="BH36" s="134">
        <f t="shared" si="8"/>
        <v>89462.5</v>
      </c>
      <c r="BI36" s="134">
        <f t="shared" si="9"/>
        <v>107004.16666666666</v>
      </c>
      <c r="BJ36" s="134">
        <f t="shared" si="10"/>
        <v>103495.83333333334</v>
      </c>
      <c r="BK36" s="134">
        <f t="shared" si="11"/>
        <v>108758.33333333334</v>
      </c>
      <c r="BL36" s="134">
        <f t="shared" si="12"/>
        <v>114897.91666666666</v>
      </c>
      <c r="BM36" s="134">
        <f t="shared" si="13"/>
        <v>117529.16666666666</v>
      </c>
      <c r="BN36" s="134">
        <f t="shared" si="14"/>
        <v>120160.41666666666</v>
      </c>
      <c r="BO36" s="134">
        <f t="shared" si="15"/>
        <v>122791.66666666666</v>
      </c>
      <c r="BP36" s="170">
        <v>116652.08333333334</v>
      </c>
      <c r="BQ36" s="134">
        <f t="shared" si="18"/>
        <v>130685.41666666666</v>
      </c>
      <c r="BR36" s="170">
        <f t="shared" si="19"/>
        <v>136825</v>
      </c>
    </row>
    <row r="37" spans="1:70" ht="17.25" customHeight="1" x14ac:dyDescent="0.2">
      <c r="A37" s="55" t="s">
        <v>55</v>
      </c>
      <c r="B37" s="129" t="s">
        <v>27</v>
      </c>
      <c r="C37" s="137">
        <v>2340000</v>
      </c>
      <c r="D37" s="134">
        <v>305000</v>
      </c>
      <c r="E37" s="141">
        <v>23400</v>
      </c>
      <c r="F37" s="134">
        <v>234000</v>
      </c>
      <c r="G37" s="134">
        <v>48800</v>
      </c>
      <c r="H37" s="141">
        <v>3700</v>
      </c>
      <c r="I37" s="134">
        <v>2574000</v>
      </c>
      <c r="J37" s="134">
        <v>353800</v>
      </c>
      <c r="K37" s="144">
        <v>27100</v>
      </c>
      <c r="L37" s="24"/>
      <c r="M37" s="66" t="s">
        <v>27</v>
      </c>
      <c r="N37" s="64">
        <f>AVERAGE(N10,N21,N25,N15)</f>
        <v>37.727499999999999</v>
      </c>
      <c r="O37" s="64">
        <f>AVERAGE(O10,O21,O25,O15)</f>
        <v>21.984999999999999</v>
      </c>
      <c r="P37" s="68">
        <f>AVERAGE(P10,P21,P25,P15)</f>
        <v>27.397499999999997</v>
      </c>
      <c r="Q37" s="23"/>
      <c r="R37" s="66" t="s">
        <v>27</v>
      </c>
      <c r="S37" s="64">
        <f>AVERAGE(S10,S21,S25,S15)</f>
        <v>3.2925</v>
      </c>
      <c r="T37" s="68">
        <f>AVERAGE(T10,T21,T25,T15)</f>
        <v>1.3525</v>
      </c>
      <c r="V37" s="61" t="s">
        <v>55</v>
      </c>
      <c r="W37" s="60" t="s">
        <v>27</v>
      </c>
      <c r="X37" s="149">
        <v>41500</v>
      </c>
      <c r="Y37" s="101">
        <v>40000</v>
      </c>
      <c r="Z37" s="149">
        <v>40400</v>
      </c>
      <c r="AA37" s="149">
        <v>41300</v>
      </c>
      <c r="AB37" s="149">
        <v>42700</v>
      </c>
      <c r="AC37" s="149">
        <v>43200</v>
      </c>
      <c r="AD37" s="149">
        <v>49300</v>
      </c>
      <c r="AE37" s="149">
        <v>50200</v>
      </c>
      <c r="AF37" s="149">
        <v>56100</v>
      </c>
      <c r="AG37" s="149">
        <v>63700</v>
      </c>
      <c r="AH37" s="149">
        <v>65000</v>
      </c>
      <c r="AI37" s="149">
        <v>64100</v>
      </c>
      <c r="AJ37" s="149">
        <v>65300</v>
      </c>
      <c r="AK37" s="149">
        <v>73900</v>
      </c>
      <c r="AL37" s="149">
        <v>72200</v>
      </c>
      <c r="AM37" s="270">
        <f>AL37</f>
        <v>72200</v>
      </c>
      <c r="AN37" s="101"/>
      <c r="AO37" s="101"/>
      <c r="AP37" s="127"/>
      <c r="AR37" s="57" t="s">
        <v>55</v>
      </c>
      <c r="AS37" s="134">
        <f t="shared" si="0"/>
        <v>2679440.9638554216</v>
      </c>
      <c r="AT37" s="134">
        <f t="shared" si="1"/>
        <v>3057787.9518072288</v>
      </c>
      <c r="AU37" s="134">
        <f t="shared" si="2"/>
        <v>3113609.6385542168</v>
      </c>
      <c r="AV37" s="134">
        <f t="shared" si="3"/>
        <v>3479551.8072289154</v>
      </c>
      <c r="AW37" s="134">
        <f t="shared" si="4"/>
        <v>3950934.9397590365</v>
      </c>
      <c r="AX37" s="134">
        <f t="shared" si="5"/>
        <v>4031566.2650602409</v>
      </c>
      <c r="AY37" s="134">
        <f t="shared" si="6"/>
        <v>3975744.5783132529</v>
      </c>
      <c r="AZ37" s="134">
        <f t="shared" si="7"/>
        <v>4050173.4939759034</v>
      </c>
      <c r="BA37" s="170">
        <v>3789672.2891566264</v>
      </c>
      <c r="BB37" s="134">
        <f t="shared" si="16"/>
        <v>4478139.7590361442</v>
      </c>
      <c r="BC37" s="276">
        <f t="shared" si="17"/>
        <v>4478139.7590361442</v>
      </c>
      <c r="BD37" s="275"/>
      <c r="BE37" s="275"/>
      <c r="BF37" s="275"/>
      <c r="BH37" s="134">
        <f t="shared" si="8"/>
        <v>368293.01204819273</v>
      </c>
      <c r="BI37" s="134">
        <f t="shared" si="9"/>
        <v>420297.34939759038</v>
      </c>
      <c r="BJ37" s="134">
        <f t="shared" si="10"/>
        <v>427970.1204819277</v>
      </c>
      <c r="BK37" s="134">
        <f t="shared" si="11"/>
        <v>478269.39759036142</v>
      </c>
      <c r="BL37" s="134">
        <f t="shared" si="12"/>
        <v>543061.68674698798</v>
      </c>
      <c r="BM37" s="134">
        <f t="shared" si="13"/>
        <v>554144.57831325301</v>
      </c>
      <c r="BN37" s="134">
        <f t="shared" si="14"/>
        <v>546471.80722891563</v>
      </c>
      <c r="BO37" s="134">
        <f t="shared" si="15"/>
        <v>556702.1686746988</v>
      </c>
      <c r="BP37" s="170">
        <v>520895.90361445781</v>
      </c>
      <c r="BQ37" s="134">
        <f t="shared" si="18"/>
        <v>615526.7469879518</v>
      </c>
      <c r="BR37" s="170">
        <f t="shared" si="19"/>
        <v>615526.7469879518</v>
      </c>
    </row>
    <row r="38" spans="1:70" ht="17.25" customHeight="1" thickBot="1" x14ac:dyDescent="0.25">
      <c r="A38" s="10" t="s">
        <v>57</v>
      </c>
      <c r="B38" s="129" t="s">
        <v>28</v>
      </c>
      <c r="C38" s="138">
        <v>1650000</v>
      </c>
      <c r="D38" s="139">
        <v>215000</v>
      </c>
      <c r="E38" s="142">
        <v>16500</v>
      </c>
      <c r="F38" s="139">
        <v>165000</v>
      </c>
      <c r="G38" s="139">
        <v>201000</v>
      </c>
      <c r="H38" s="142">
        <v>2100</v>
      </c>
      <c r="I38" s="139">
        <v>1815000</v>
      </c>
      <c r="J38" s="139">
        <v>235100</v>
      </c>
      <c r="K38" s="145">
        <v>18600</v>
      </c>
      <c r="L38" s="25"/>
      <c r="M38" s="114" t="s">
        <v>28</v>
      </c>
      <c r="N38" s="115">
        <v>39.97</v>
      </c>
      <c r="O38" s="115">
        <v>23.29</v>
      </c>
      <c r="P38" s="116">
        <v>29.02</v>
      </c>
      <c r="Q38" s="23"/>
      <c r="R38" s="114" t="s">
        <v>28</v>
      </c>
      <c r="S38" s="115">
        <v>3.42</v>
      </c>
      <c r="T38" s="116">
        <v>1.4</v>
      </c>
      <c r="V38" s="158" t="s">
        <v>57</v>
      </c>
      <c r="W38" s="159" t="s">
        <v>28</v>
      </c>
      <c r="X38" s="160">
        <v>29000</v>
      </c>
      <c r="Y38" s="161">
        <v>27900</v>
      </c>
      <c r="Z38" s="160">
        <v>29900</v>
      </c>
      <c r="AA38" s="160">
        <v>31000</v>
      </c>
      <c r="AB38" s="160">
        <v>32700</v>
      </c>
      <c r="AC38" s="160">
        <v>34200</v>
      </c>
      <c r="AD38" s="160">
        <v>31900</v>
      </c>
      <c r="AE38" s="160">
        <v>27600</v>
      </c>
      <c r="AF38" s="160">
        <v>29300</v>
      </c>
      <c r="AG38" s="160">
        <v>29800</v>
      </c>
      <c r="AH38" s="160">
        <v>32600</v>
      </c>
      <c r="AI38" s="160">
        <v>32200</v>
      </c>
      <c r="AJ38" s="160">
        <v>35300</v>
      </c>
      <c r="AK38" s="160">
        <v>40000</v>
      </c>
      <c r="AL38" s="160">
        <v>36500</v>
      </c>
      <c r="AM38" s="160">
        <v>35200</v>
      </c>
      <c r="AN38" s="161"/>
      <c r="AO38" s="161"/>
      <c r="AP38" s="162"/>
      <c r="AR38" s="57" t="s">
        <v>57</v>
      </c>
      <c r="AS38" s="134">
        <f t="shared" si="0"/>
        <v>2140448.2758620689</v>
      </c>
      <c r="AT38" s="134">
        <f t="shared" si="1"/>
        <v>1996500.0000000002</v>
      </c>
      <c r="AU38" s="134">
        <f t="shared" si="2"/>
        <v>1727379.3103448276</v>
      </c>
      <c r="AV38" s="134">
        <f t="shared" si="3"/>
        <v>1833775.8620689653</v>
      </c>
      <c r="AW38" s="134">
        <f t="shared" si="4"/>
        <v>1865068.9655172415</v>
      </c>
      <c r="AX38" s="134">
        <f t="shared" si="5"/>
        <v>2040310.3448275863</v>
      </c>
      <c r="AY38" s="134">
        <f t="shared" si="6"/>
        <v>2015275.8620689656</v>
      </c>
      <c r="AZ38" s="134">
        <f t="shared" si="7"/>
        <v>2209293.1034482759</v>
      </c>
      <c r="BA38" s="170">
        <v>1852551.7241379311</v>
      </c>
      <c r="BB38" s="134">
        <f t="shared" si="16"/>
        <v>2284396.5517241377</v>
      </c>
      <c r="BC38" s="276">
        <f t="shared" si="17"/>
        <v>2203034.4827586208</v>
      </c>
      <c r="BD38" s="275"/>
      <c r="BE38" s="275"/>
      <c r="BF38" s="275"/>
      <c r="BH38" s="134">
        <f t="shared" si="8"/>
        <v>277255.86206896551</v>
      </c>
      <c r="BI38" s="134">
        <f t="shared" si="9"/>
        <v>258610.00000000003</v>
      </c>
      <c r="BJ38" s="134">
        <f t="shared" si="10"/>
        <v>223750.3448275862</v>
      </c>
      <c r="BK38" s="134">
        <f t="shared" si="11"/>
        <v>237532.06896551722</v>
      </c>
      <c r="BL38" s="134">
        <f t="shared" si="12"/>
        <v>241585.51724137933</v>
      </c>
      <c r="BM38" s="134">
        <f t="shared" si="13"/>
        <v>264284.8275862069</v>
      </c>
      <c r="BN38" s="134">
        <f t="shared" si="14"/>
        <v>261042.06896551725</v>
      </c>
      <c r="BO38" s="134">
        <f t="shared" si="15"/>
        <v>286173.44827586209</v>
      </c>
      <c r="BP38" s="170">
        <v>239964.13793103449</v>
      </c>
      <c r="BQ38" s="134">
        <f t="shared" si="18"/>
        <v>295901.72413793101</v>
      </c>
      <c r="BR38" s="170">
        <f t="shared" si="19"/>
        <v>285362.75862068962</v>
      </c>
    </row>
    <row r="39" spans="1:70" ht="39" hidden="1" thickBot="1" x14ac:dyDescent="0.25">
      <c r="A39" s="10" t="s">
        <v>318</v>
      </c>
      <c r="B39" s="74" t="s">
        <v>325</v>
      </c>
      <c r="C39" s="107">
        <f t="shared" ref="C39:K39" si="25">(C23+C36)/2</f>
        <v>340000</v>
      </c>
      <c r="D39" s="107">
        <f t="shared" si="25"/>
        <v>44000</v>
      </c>
      <c r="E39" s="107">
        <f t="shared" si="25"/>
        <v>3400</v>
      </c>
      <c r="F39" s="107">
        <f t="shared" si="25"/>
        <v>34000</v>
      </c>
      <c r="G39" s="107">
        <f t="shared" si="25"/>
        <v>6550</v>
      </c>
      <c r="H39" s="107">
        <f t="shared" si="25"/>
        <v>250</v>
      </c>
      <c r="I39" s="107">
        <f t="shared" si="25"/>
        <v>374000</v>
      </c>
      <c r="J39" s="107">
        <f t="shared" si="25"/>
        <v>50550</v>
      </c>
      <c r="K39" s="107">
        <f t="shared" si="25"/>
        <v>3650</v>
      </c>
      <c r="M39" s="108" t="s">
        <v>325</v>
      </c>
      <c r="N39" s="109">
        <f>AVERAGE(N23,N36)</f>
        <v>17.82</v>
      </c>
      <c r="O39" s="109">
        <f>AVERAGE(O23,O36)</f>
        <v>10.385</v>
      </c>
      <c r="P39" s="110">
        <f>AVERAGE(P23,P36)</f>
        <v>12.94</v>
      </c>
      <c r="Q39" s="23"/>
      <c r="R39" s="108" t="s">
        <v>325</v>
      </c>
      <c r="S39" s="109">
        <f>AVERAGE(S23,S36)</f>
        <v>1.925</v>
      </c>
      <c r="T39" s="110">
        <f>AVERAGE(T23,T36)</f>
        <v>0.79499999999999993</v>
      </c>
      <c r="V39" s="117" t="s">
        <v>318</v>
      </c>
      <c r="W39" s="118" t="s">
        <v>325</v>
      </c>
      <c r="X39" s="119">
        <v>2000</v>
      </c>
      <c r="Y39" s="120">
        <v>2000</v>
      </c>
      <c r="Z39" s="120">
        <v>2100</v>
      </c>
      <c r="AA39" s="120">
        <v>2300</v>
      </c>
      <c r="AB39" s="120">
        <v>2600</v>
      </c>
      <c r="AC39" s="120">
        <v>2900</v>
      </c>
      <c r="AD39" s="120">
        <v>3300</v>
      </c>
      <c r="AE39" s="120" t="s">
        <v>316</v>
      </c>
      <c r="AF39" s="120" t="s">
        <v>316</v>
      </c>
      <c r="AG39" s="120"/>
      <c r="AH39" s="120"/>
      <c r="AI39" s="120"/>
      <c r="AJ39" s="120"/>
      <c r="AK39" s="120"/>
      <c r="AL39" s="120"/>
      <c r="AM39" s="120"/>
      <c r="AN39" s="120"/>
      <c r="AO39" s="120"/>
      <c r="AP39" s="121"/>
      <c r="AR39" s="35" t="s">
        <v>318</v>
      </c>
      <c r="AS39">
        <f>AC39/$X39*$I39</f>
        <v>542300</v>
      </c>
      <c r="AT39">
        <f>AD39/$X39*$I39</f>
        <v>617100</v>
      </c>
      <c r="AU39" t="e">
        <f>AE39/$X39*$I39</f>
        <v>#VALUE!</v>
      </c>
      <c r="BB39" s="134">
        <f t="shared" si="16"/>
        <v>0</v>
      </c>
      <c r="BC39" s="166"/>
      <c r="BD39" s="271"/>
      <c r="BE39" s="271"/>
      <c r="BF39" s="271"/>
      <c r="BH39">
        <f>AC39/$X39*$J39</f>
        <v>73297.5</v>
      </c>
      <c r="BI39">
        <f>AD39/$X39*$J39</f>
        <v>83407.5</v>
      </c>
      <c r="BJ39" t="e">
        <f>AE39/$X39*$J39</f>
        <v>#VALUE!</v>
      </c>
    </row>
    <row r="40" spans="1:70" ht="13.5" hidden="1" thickBot="1" x14ac:dyDescent="0.25">
      <c r="A40" s="10" t="s">
        <v>328</v>
      </c>
      <c r="B40" s="70" t="s">
        <v>328</v>
      </c>
      <c r="C40" s="71">
        <f t="shared" ref="C40:K40" si="26">AVERAGE(C10,C11,C14,C15,C16,C17,C18,C19,C20,C21,C23,C24,C25,C26,C27,C28,C29,C31,C32,C34,C35,C36,C38)</f>
        <v>1106086.956521739</v>
      </c>
      <c r="D40" s="72">
        <f t="shared" si="26"/>
        <v>143782.60869565216</v>
      </c>
      <c r="E40" s="72">
        <f t="shared" si="26"/>
        <v>11060.869565217392</v>
      </c>
      <c r="F40" s="72">
        <f t="shared" si="26"/>
        <v>110608.69565217392</v>
      </c>
      <c r="G40" s="72">
        <f t="shared" si="26"/>
        <v>29326.08695652174</v>
      </c>
      <c r="H40" s="72">
        <f t="shared" si="26"/>
        <v>1156.5217391304348</v>
      </c>
      <c r="I40" s="72">
        <f t="shared" si="26"/>
        <v>1216695.6521739131</v>
      </c>
      <c r="J40" s="72">
        <f t="shared" si="26"/>
        <v>165243.47826086957</v>
      </c>
      <c r="K40" s="73">
        <f t="shared" si="26"/>
        <v>12217.391304347826</v>
      </c>
      <c r="M40" s="85" t="s">
        <v>328</v>
      </c>
      <c r="N40" s="86">
        <f>AVERAGE(N10,N11,N14,N15,N16,N17,N18,N19,N20,N21,N23,N24,N25,N26,N27,N28,N29,N31,N32,N34,N35,N36,N38)</f>
        <v>31.193043478260872</v>
      </c>
      <c r="O40" s="86">
        <f>AVERAGE(O10,O11,O14,O15,O16,O17,O18,O19,O20,O21,O23,O24,O25,O26,O27,O28,O29,O31,O32,O34,O35,O36,O38)</f>
        <v>18.178260869565214</v>
      </c>
      <c r="P40" s="87">
        <f>AVERAGE(P10,P11,P14,P15,P16,P17,P18,P19,P20,P21,P23,P24,P25,P26,P27,P28,P29,P31,P32,P34,P35,P36,P38)</f>
        <v>22.651304347826088</v>
      </c>
      <c r="R40" s="85" t="s">
        <v>328</v>
      </c>
      <c r="S40" s="86">
        <f>AVERAGE(S10,S11,S14,S15,S16,S17,S18,S19,S20,S21,S23,S24,S25,S26,S27,S28,S29,S31,S32,S34,S35,S36,S38)</f>
        <v>2.8304347826086955</v>
      </c>
      <c r="T40" s="87">
        <f>AVERAGE(T10,T11,T14,T15,T16,T17,T18,T19,T20,T21,T23,T24,T25,T26,T27,T28,T29,T31,T32,T34,T35,T36,T38)</f>
        <v>1.1621739130434781</v>
      </c>
      <c r="V40" s="52" t="s">
        <v>329</v>
      </c>
      <c r="W40" s="53" t="s">
        <v>329</v>
      </c>
      <c r="X40" s="94">
        <v>20500</v>
      </c>
      <c r="Y40" s="58">
        <v>20700</v>
      </c>
      <c r="Z40" s="58">
        <v>21700</v>
      </c>
      <c r="AA40" s="58">
        <v>22500</v>
      </c>
      <c r="AB40" s="58">
        <v>23700</v>
      </c>
      <c r="AC40" s="58">
        <v>25000</v>
      </c>
      <c r="AD40" s="58">
        <v>25100</v>
      </c>
      <c r="AE40" s="58">
        <v>23600</v>
      </c>
      <c r="AF40" s="58">
        <v>24500</v>
      </c>
      <c r="AG40" s="58"/>
      <c r="AH40" s="58"/>
      <c r="AI40" s="58"/>
      <c r="AJ40" s="58"/>
      <c r="AK40" s="58"/>
      <c r="AL40" s="58"/>
      <c r="AM40" s="58"/>
      <c r="AN40" s="58"/>
      <c r="AO40" s="58"/>
      <c r="AP40" s="59"/>
      <c r="BB40" s="134">
        <f t="shared" si="16"/>
        <v>0</v>
      </c>
      <c r="BC40" s="166"/>
      <c r="BD40" s="271"/>
      <c r="BE40" s="271"/>
      <c r="BF40" s="271"/>
    </row>
    <row r="41" spans="1:70" s="16" customFormat="1" x14ac:dyDescent="0.2">
      <c r="A41" s="104"/>
      <c r="B41" s="105"/>
      <c r="C41" s="103"/>
      <c r="D41" s="103"/>
      <c r="E41" s="103"/>
      <c r="F41" s="103"/>
      <c r="G41" s="103"/>
      <c r="H41" s="103"/>
      <c r="I41" s="103"/>
      <c r="J41" s="103"/>
      <c r="K41" s="103"/>
      <c r="L41" s="22"/>
      <c r="M41" s="105"/>
      <c r="N41" s="106"/>
      <c r="O41" s="106"/>
      <c r="P41" s="106"/>
      <c r="Q41" s="22"/>
      <c r="R41" s="105"/>
      <c r="S41" s="106"/>
      <c r="T41" s="106"/>
      <c r="V41" s="102"/>
      <c r="W41" s="102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BC41" s="277"/>
      <c r="BR41" s="274"/>
    </row>
    <row r="42" spans="1:70" ht="15.75" x14ac:dyDescent="0.25">
      <c r="B42" s="19" t="s">
        <v>326</v>
      </c>
      <c r="C42" s="42"/>
      <c r="D42" s="21"/>
      <c r="E42" s="21"/>
      <c r="F42" s="21"/>
      <c r="G42" s="21"/>
      <c r="H42" s="21"/>
      <c r="I42" s="21"/>
      <c r="J42" s="21"/>
      <c r="K42" s="21"/>
      <c r="L42" s="21"/>
      <c r="M42" s="20"/>
      <c r="W42" s="155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48"/>
    </row>
    <row r="43" spans="1:70" x14ac:dyDescent="0.2"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5"/>
      <c r="W43" s="155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22"/>
    </row>
    <row r="44" spans="1:70" x14ac:dyDescent="0.2">
      <c r="B44" s="46"/>
      <c r="C44" s="47" t="s">
        <v>327</v>
      </c>
      <c r="D44" s="48"/>
      <c r="E44" s="48"/>
      <c r="F44" s="48"/>
      <c r="G44" s="48"/>
      <c r="H44" s="48"/>
      <c r="I44" s="48"/>
      <c r="J44" s="48"/>
      <c r="K44" s="48"/>
      <c r="L44" s="48"/>
      <c r="M44" s="49"/>
      <c r="W44" s="155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22"/>
    </row>
    <row r="45" spans="1:70" x14ac:dyDescent="0.2">
      <c r="B45" s="5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51"/>
      <c r="W45" s="155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22"/>
    </row>
    <row r="46" spans="1:70" x14ac:dyDescent="0.2">
      <c r="W46" s="155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22"/>
    </row>
    <row r="47" spans="1:70" x14ac:dyDescent="0.2">
      <c r="B47" s="153" t="s">
        <v>344</v>
      </c>
      <c r="W47" s="155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22"/>
    </row>
    <row r="48" spans="1:70" x14ac:dyDescent="0.2">
      <c r="W48" s="155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22"/>
    </row>
    <row r="49" spans="23:36" x14ac:dyDescent="0.2">
      <c r="W49" s="155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4"/>
      <c r="AJ49" s="22"/>
    </row>
    <row r="50" spans="23:36" x14ac:dyDescent="0.2">
      <c r="W50" s="155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22"/>
    </row>
    <row r="51" spans="23:36" x14ac:dyDescent="0.2">
      <c r="W51" s="155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22"/>
    </row>
    <row r="52" spans="23:36" x14ac:dyDescent="0.2">
      <c r="W52" s="155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22"/>
    </row>
    <row r="53" spans="23:36" x14ac:dyDescent="0.2">
      <c r="W53" s="155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22"/>
    </row>
    <row r="54" spans="23:36" x14ac:dyDescent="0.2">
      <c r="W54" s="157"/>
      <c r="X54" s="163"/>
      <c r="Y54" s="163"/>
      <c r="Z54" s="163"/>
      <c r="AA54" s="163"/>
      <c r="AB54" s="163"/>
      <c r="AC54" s="163"/>
      <c r="AD54" s="163"/>
      <c r="AE54" s="163"/>
      <c r="AF54" s="163"/>
      <c r="AG54" s="163"/>
      <c r="AH54" s="163"/>
      <c r="AI54" s="163"/>
      <c r="AJ54" s="22"/>
    </row>
    <row r="55" spans="23:36" x14ac:dyDescent="0.2">
      <c r="W55" s="155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22"/>
    </row>
    <row r="56" spans="23:36" x14ac:dyDescent="0.2">
      <c r="W56" s="155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22"/>
    </row>
    <row r="57" spans="23:36" x14ac:dyDescent="0.2">
      <c r="W57" s="155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22"/>
    </row>
    <row r="58" spans="23:36" x14ac:dyDescent="0.2">
      <c r="W58" s="155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22"/>
    </row>
    <row r="59" spans="23:36" x14ac:dyDescent="0.2">
      <c r="W59" s="157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22"/>
    </row>
    <row r="60" spans="23:36" x14ac:dyDescent="0.2">
      <c r="W60" s="155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22"/>
    </row>
    <row r="61" spans="23:36" x14ac:dyDescent="0.2">
      <c r="W61" s="155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  <c r="AI61" s="163"/>
      <c r="AJ61" s="22"/>
    </row>
    <row r="62" spans="23:36" x14ac:dyDescent="0.2">
      <c r="W62" s="155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22"/>
    </row>
    <row r="63" spans="23:36" x14ac:dyDescent="0.2">
      <c r="W63" s="155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22"/>
    </row>
    <row r="64" spans="23:36" x14ac:dyDescent="0.2">
      <c r="W64" s="155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4"/>
      <c r="AJ64" s="22"/>
    </row>
    <row r="65" spans="23:36" x14ac:dyDescent="0.2">
      <c r="W65" s="155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22"/>
    </row>
    <row r="66" spans="23:36" x14ac:dyDescent="0.2">
      <c r="W66" s="155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63"/>
      <c r="AI66" s="163"/>
      <c r="AJ66" s="22"/>
    </row>
    <row r="67" spans="23:36" x14ac:dyDescent="0.2">
      <c r="W67" s="155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22"/>
    </row>
    <row r="68" spans="23:36" x14ac:dyDescent="0.2">
      <c r="W68" s="155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3"/>
      <c r="AI68" s="163"/>
      <c r="AJ68" s="22"/>
    </row>
    <row r="69" spans="23:36" x14ac:dyDescent="0.2">
      <c r="W69" s="155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  <c r="AI69" s="163"/>
      <c r="AJ69" s="22"/>
    </row>
    <row r="70" spans="23:36" x14ac:dyDescent="0.2">
      <c r="W70" s="157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22"/>
    </row>
    <row r="71" spans="23:36" x14ac:dyDescent="0.2">
      <c r="W71" s="157"/>
      <c r="X71" s="163"/>
      <c r="Y71" s="163"/>
      <c r="Z71" s="163"/>
      <c r="AA71" s="163"/>
      <c r="AB71" s="163"/>
      <c r="AC71" s="163"/>
      <c r="AD71" s="163"/>
      <c r="AE71" s="163"/>
      <c r="AF71" s="163"/>
      <c r="AG71" s="163"/>
      <c r="AH71" s="165"/>
      <c r="AI71" s="165"/>
      <c r="AJ71" s="22"/>
    </row>
    <row r="72" spans="23:36" x14ac:dyDescent="0.2">
      <c r="W72" s="155"/>
      <c r="X72" s="163"/>
      <c r="Y72" s="163"/>
      <c r="Z72" s="163"/>
      <c r="AA72" s="163"/>
      <c r="AB72" s="163"/>
      <c r="AC72" s="163"/>
      <c r="AD72" s="163"/>
      <c r="AE72" s="163"/>
      <c r="AF72" s="163"/>
      <c r="AG72" s="163"/>
      <c r="AH72" s="163"/>
      <c r="AI72" s="163"/>
      <c r="AJ72" s="22"/>
    </row>
    <row r="73" spans="23:36" x14ac:dyDescent="0.2">
      <c r="W73" s="155"/>
      <c r="X73" s="163"/>
      <c r="Y73" s="163"/>
      <c r="Z73" s="163"/>
      <c r="AA73" s="163"/>
      <c r="AB73" s="163"/>
      <c r="AC73" s="163"/>
      <c r="AD73" s="163"/>
      <c r="AE73" s="163"/>
      <c r="AF73" s="163"/>
      <c r="AG73" s="163"/>
      <c r="AH73" s="163"/>
      <c r="AI73" s="163"/>
      <c r="AJ73" s="22"/>
    </row>
    <row r="74" spans="23:36" x14ac:dyDescent="0.2">
      <c r="W74" s="155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22"/>
    </row>
    <row r="75" spans="23:36" x14ac:dyDescent="0.2">
      <c r="W75" s="155"/>
      <c r="X75" s="163"/>
      <c r="Y75" s="163"/>
      <c r="Z75" s="163"/>
      <c r="AA75" s="163"/>
      <c r="AB75" s="163"/>
      <c r="AC75" s="163"/>
      <c r="AD75" s="163"/>
      <c r="AE75" s="163"/>
      <c r="AF75" s="163"/>
      <c r="AG75" s="163"/>
      <c r="AH75" s="163"/>
      <c r="AI75" s="163"/>
      <c r="AJ75" s="22"/>
    </row>
    <row r="76" spans="23:36" x14ac:dyDescent="0.2"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</row>
    <row r="77" spans="23:36" x14ac:dyDescent="0.2"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</row>
    <row r="78" spans="23:36" x14ac:dyDescent="0.2"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</row>
    <row r="79" spans="23:36" x14ac:dyDescent="0.2"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</row>
    <row r="80" spans="23:36" x14ac:dyDescent="0.2"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</row>
  </sheetData>
  <mergeCells count="5">
    <mergeCell ref="N8:P8"/>
    <mergeCell ref="S8:T8"/>
    <mergeCell ref="C7:E7"/>
    <mergeCell ref="F7:H7"/>
    <mergeCell ref="I7:K7"/>
  </mergeCells>
  <hyperlinks>
    <hyperlink ref="D8" location="_ftn1" display="_ftn1"/>
    <hyperlink ref="E9" location="_ftn2" display="_ftn2"/>
  </hyperlink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50"/>
  <sheetViews>
    <sheetView workbookViewId="0">
      <selection activeCell="A10" sqref="A10"/>
    </sheetView>
  </sheetViews>
  <sheetFormatPr defaultRowHeight="12.75" x14ac:dyDescent="0.2"/>
  <cols>
    <col min="1" max="1" width="19.28515625" style="3" bestFit="1" customWidth="1"/>
    <col min="2" max="2" width="20.28515625" style="3" customWidth="1"/>
    <col min="3" max="3" width="13.28515625" style="3" customWidth="1"/>
    <col min="4" max="4" width="9.140625" style="3"/>
    <col min="5" max="5" width="13.140625" style="3" bestFit="1" customWidth="1"/>
    <col min="6" max="6" width="13.140625" style="3" customWidth="1"/>
    <col min="7" max="16384" width="9.140625" style="3"/>
  </cols>
  <sheetData>
    <row r="1" spans="1:16" ht="15.75" x14ac:dyDescent="0.2">
      <c r="A1" s="6" t="s">
        <v>193</v>
      </c>
      <c r="B1" s="1" t="s">
        <v>194</v>
      </c>
      <c r="C1" s="1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15.75" x14ac:dyDescent="0.25">
      <c r="A2" t="s">
        <v>29</v>
      </c>
      <c r="B2" s="4" t="s">
        <v>1</v>
      </c>
      <c r="C2" s="4"/>
      <c r="E2" s="2" t="s">
        <v>58</v>
      </c>
      <c r="F2" s="2"/>
      <c r="G2" s="2" t="s">
        <v>0</v>
      </c>
      <c r="H2" s="2"/>
    </row>
    <row r="3" spans="1:16" ht="15.75" x14ac:dyDescent="0.25">
      <c r="A3" t="s">
        <v>30</v>
      </c>
      <c r="B3" s="4" t="s">
        <v>2</v>
      </c>
      <c r="C3" s="4"/>
      <c r="E3" s="2">
        <v>2004</v>
      </c>
      <c r="F3" s="2"/>
      <c r="G3" s="2" t="s">
        <v>191</v>
      </c>
      <c r="H3" s="2"/>
    </row>
    <row r="4" spans="1:16" ht="15.75" x14ac:dyDescent="0.25">
      <c r="A4" t="s">
        <v>31</v>
      </c>
      <c r="B4" s="4" t="s">
        <v>3</v>
      </c>
      <c r="C4" s="4"/>
      <c r="E4" s="2">
        <v>2005</v>
      </c>
      <c r="F4" s="2"/>
      <c r="G4" s="2" t="s">
        <v>192</v>
      </c>
      <c r="H4" s="2"/>
    </row>
    <row r="5" spans="1:16" ht="15.75" x14ac:dyDescent="0.25">
      <c r="A5" t="s">
        <v>195</v>
      </c>
      <c r="B5" s="4" t="s">
        <v>196</v>
      </c>
      <c r="C5" s="4"/>
      <c r="E5" s="2">
        <v>2006</v>
      </c>
      <c r="F5" s="2"/>
    </row>
    <row r="6" spans="1:16" ht="15.75" x14ac:dyDescent="0.25">
      <c r="A6" t="s">
        <v>32</v>
      </c>
      <c r="B6" s="4" t="s">
        <v>4</v>
      </c>
      <c r="C6" s="4"/>
      <c r="E6" s="2">
        <v>2007</v>
      </c>
      <c r="F6" s="2"/>
    </row>
    <row r="7" spans="1:16" ht="15.75" x14ac:dyDescent="0.25">
      <c r="A7" t="s">
        <v>33</v>
      </c>
      <c r="B7" s="4" t="s">
        <v>5</v>
      </c>
      <c r="C7" s="4"/>
      <c r="E7" s="2">
        <v>2008</v>
      </c>
      <c r="F7" s="2"/>
    </row>
    <row r="8" spans="1:16" ht="15.75" x14ac:dyDescent="0.25">
      <c r="A8" t="s">
        <v>34</v>
      </c>
      <c r="B8" s="4" t="s">
        <v>6</v>
      </c>
      <c r="C8" s="4"/>
      <c r="E8" s="2">
        <v>2009</v>
      </c>
      <c r="F8" s="2"/>
    </row>
    <row r="9" spans="1:16" ht="15.75" x14ac:dyDescent="0.25">
      <c r="A9" t="s">
        <v>35</v>
      </c>
      <c r="B9" s="4" t="s">
        <v>7</v>
      </c>
      <c r="C9" s="4"/>
      <c r="E9" s="2">
        <v>2010</v>
      </c>
      <c r="F9" s="2"/>
    </row>
    <row r="10" spans="1:16" ht="15.75" x14ac:dyDescent="0.25">
      <c r="A10" t="s">
        <v>36</v>
      </c>
      <c r="B10" s="4" t="s">
        <v>8</v>
      </c>
      <c r="C10" s="4"/>
      <c r="E10" s="2">
        <v>2011</v>
      </c>
      <c r="F10" s="2"/>
    </row>
    <row r="11" spans="1:16" ht="15.75" x14ac:dyDescent="0.25">
      <c r="A11" t="s">
        <v>37</v>
      </c>
      <c r="B11" s="4" t="s">
        <v>9</v>
      </c>
      <c r="C11" s="4"/>
      <c r="E11" s="2">
        <v>2012</v>
      </c>
      <c r="F11" s="2"/>
    </row>
    <row r="12" spans="1:16" ht="15.75" x14ac:dyDescent="0.25">
      <c r="A12" t="s">
        <v>38</v>
      </c>
      <c r="B12" s="4" t="s">
        <v>10</v>
      </c>
      <c r="C12" s="4"/>
      <c r="E12" s="2">
        <v>2013</v>
      </c>
      <c r="F12" s="2"/>
    </row>
    <row r="13" spans="1:16" ht="15.75" x14ac:dyDescent="0.25">
      <c r="A13" t="s">
        <v>39</v>
      </c>
      <c r="B13" s="4" t="s">
        <v>11</v>
      </c>
      <c r="C13" s="4"/>
      <c r="E13" s="2">
        <v>2014</v>
      </c>
      <c r="F13" s="2"/>
    </row>
    <row r="14" spans="1:16" ht="15.75" x14ac:dyDescent="0.25">
      <c r="A14" t="s">
        <v>40</v>
      </c>
      <c r="B14" s="4" t="s">
        <v>12</v>
      </c>
      <c r="C14" s="4"/>
      <c r="E14" s="2">
        <v>2015</v>
      </c>
      <c r="F14" s="2"/>
    </row>
    <row r="15" spans="1:16" x14ac:dyDescent="0.2">
      <c r="A15" t="s">
        <v>41</v>
      </c>
      <c r="B15" s="4" t="s">
        <v>13</v>
      </c>
      <c r="C15" s="4"/>
    </row>
    <row r="16" spans="1:16" x14ac:dyDescent="0.2">
      <c r="A16" t="s">
        <v>42</v>
      </c>
      <c r="B16" s="4" t="s">
        <v>14</v>
      </c>
      <c r="C16" s="4"/>
    </row>
    <row r="17" spans="1:3" x14ac:dyDescent="0.2">
      <c r="A17" t="s">
        <v>43</v>
      </c>
      <c r="B17" s="4" t="s">
        <v>15</v>
      </c>
      <c r="C17" s="4"/>
    </row>
    <row r="18" spans="1:3" x14ac:dyDescent="0.2">
      <c r="A18" t="s">
        <v>44</v>
      </c>
      <c r="B18" s="4" t="s">
        <v>16</v>
      </c>
      <c r="C18" s="4"/>
    </row>
    <row r="19" spans="1:3" x14ac:dyDescent="0.2">
      <c r="A19" t="s">
        <v>45</v>
      </c>
      <c r="B19" s="4" t="s">
        <v>17</v>
      </c>
      <c r="C19" s="4"/>
    </row>
    <row r="20" spans="1:3" x14ac:dyDescent="0.2">
      <c r="A20" t="s">
        <v>47</v>
      </c>
      <c r="B20" s="4" t="s">
        <v>19</v>
      </c>
      <c r="C20" s="4"/>
    </row>
    <row r="21" spans="1:3" x14ac:dyDescent="0.2">
      <c r="A21" t="s">
        <v>46</v>
      </c>
      <c r="B21" s="5" t="s">
        <v>18</v>
      </c>
      <c r="C21" s="5"/>
    </row>
    <row r="22" spans="1:3" x14ac:dyDescent="0.2">
      <c r="A22" t="s">
        <v>48</v>
      </c>
      <c r="B22" s="4" t="s">
        <v>20</v>
      </c>
      <c r="C22" s="4"/>
    </row>
    <row r="23" spans="1:3" x14ac:dyDescent="0.2">
      <c r="A23" t="s">
        <v>49</v>
      </c>
      <c r="B23" s="4" t="s">
        <v>21</v>
      </c>
      <c r="C23" s="4"/>
    </row>
    <row r="24" spans="1:3" x14ac:dyDescent="0.2">
      <c r="A24" t="s">
        <v>50</v>
      </c>
      <c r="B24" s="4" t="s">
        <v>22</v>
      </c>
      <c r="C24" s="4"/>
    </row>
    <row r="25" spans="1:3" x14ac:dyDescent="0.2">
      <c r="A25" t="s">
        <v>51</v>
      </c>
      <c r="B25" s="4" t="s">
        <v>23</v>
      </c>
      <c r="C25" s="4"/>
    </row>
    <row r="26" spans="1:3" x14ac:dyDescent="0.2">
      <c r="A26" t="s">
        <v>52</v>
      </c>
      <c r="B26" s="4" t="s">
        <v>24</v>
      </c>
      <c r="C26" s="4"/>
    </row>
    <row r="27" spans="1:3" x14ac:dyDescent="0.2">
      <c r="A27" t="s">
        <v>53</v>
      </c>
      <c r="B27" s="4" t="s">
        <v>25</v>
      </c>
      <c r="C27" s="4"/>
    </row>
    <row r="28" spans="1:3" x14ac:dyDescent="0.2">
      <c r="A28" t="s">
        <v>54</v>
      </c>
      <c r="B28" s="4" t="s">
        <v>26</v>
      </c>
      <c r="C28" s="4"/>
    </row>
    <row r="29" spans="1:3" x14ac:dyDescent="0.2">
      <c r="A29" t="s">
        <v>55</v>
      </c>
      <c r="B29" s="4" t="s">
        <v>27</v>
      </c>
      <c r="C29" s="4"/>
    </row>
    <row r="30" spans="1:3" x14ac:dyDescent="0.2">
      <c r="A30" t="s">
        <v>56</v>
      </c>
      <c r="B30" s="4" t="s">
        <v>197</v>
      </c>
      <c r="C30" s="4"/>
    </row>
    <row r="31" spans="1:3" x14ac:dyDescent="0.2">
      <c r="A31" t="s">
        <v>57</v>
      </c>
      <c r="B31" s="3" t="s">
        <v>28</v>
      </c>
    </row>
    <row r="32" spans="1:3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  <row r="37" spans="1:1" x14ac:dyDescent="0.2">
      <c r="A37"/>
    </row>
    <row r="38" spans="1:1" x14ac:dyDescent="0.2">
      <c r="A38"/>
    </row>
    <row r="39" spans="1:1" x14ac:dyDescent="0.2">
      <c r="A39"/>
    </row>
    <row r="40" spans="1:1" x14ac:dyDescent="0.2">
      <c r="A40"/>
    </row>
    <row r="41" spans="1:1" x14ac:dyDescent="0.2">
      <c r="A41"/>
    </row>
    <row r="42" spans="1:1" x14ac:dyDescent="0.2">
      <c r="A42"/>
    </row>
    <row r="43" spans="1:1" x14ac:dyDescent="0.2">
      <c r="A43"/>
    </row>
    <row r="44" spans="1:1" x14ac:dyDescent="0.2">
      <c r="A44"/>
    </row>
    <row r="45" spans="1:1" x14ac:dyDescent="0.2">
      <c r="A45"/>
    </row>
    <row r="46" spans="1:1" x14ac:dyDescent="0.2">
      <c r="A46"/>
    </row>
    <row r="47" spans="1:1" x14ac:dyDescent="0.2">
      <c r="A47"/>
    </row>
    <row r="48" spans="1:1" x14ac:dyDescent="0.2">
      <c r="A48"/>
    </row>
    <row r="49" spans="1:1" x14ac:dyDescent="0.2">
      <c r="A49"/>
    </row>
    <row r="50" spans="1:1" x14ac:dyDescent="0.2">
      <c r="A50"/>
    </row>
  </sheetData>
  <phoneticPr fontId="3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2" tint="-9.9978637043366805E-2"/>
  </sheetPr>
  <dimension ref="A1:E29"/>
  <sheetViews>
    <sheetView workbookViewId="0">
      <selection activeCell="C36" sqref="C36"/>
    </sheetView>
  </sheetViews>
  <sheetFormatPr defaultRowHeight="12.75" x14ac:dyDescent="0.2"/>
  <cols>
    <col min="1" max="1" width="47.42578125" customWidth="1"/>
    <col min="2" max="2" width="15.140625" customWidth="1"/>
    <col min="3" max="3" width="13.42578125" customWidth="1"/>
  </cols>
  <sheetData>
    <row r="1" spans="1:5" ht="18" x14ac:dyDescent="0.25">
      <c r="A1" s="12" t="s">
        <v>201</v>
      </c>
      <c r="B1" s="12"/>
    </row>
    <row r="4" spans="1:5" ht="15.75" x14ac:dyDescent="0.25">
      <c r="A4" s="19" t="s">
        <v>232</v>
      </c>
      <c r="B4" s="27" t="s">
        <v>299</v>
      </c>
      <c r="C4" s="295" t="s">
        <v>274</v>
      </c>
      <c r="D4" s="295"/>
    </row>
    <row r="5" spans="1:5" x14ac:dyDescent="0.2">
      <c r="A5" s="10" t="s">
        <v>233</v>
      </c>
      <c r="B5" s="10"/>
      <c r="C5">
        <f>IF(ISNUMBER('CSI data - simple'!E264),'CSI data - simple'!E264,'CSI data - simple'!E269)</f>
        <v>38.820714285714288</v>
      </c>
    </row>
    <row r="6" spans="1:5" x14ac:dyDescent="0.2">
      <c r="A6" s="10" t="s">
        <v>234</v>
      </c>
      <c r="B6" s="10"/>
      <c r="C6" s="15">
        <f>IF(ISNUMBER('CSI data - simple'!E260),'CSI data - simple'!E260,0.75)</f>
        <v>0.25</v>
      </c>
      <c r="D6" s="18"/>
      <c r="E6" s="54" t="s">
        <v>330</v>
      </c>
    </row>
    <row r="7" spans="1:5" x14ac:dyDescent="0.2">
      <c r="C7" s="16"/>
    </row>
    <row r="8" spans="1:5" x14ac:dyDescent="0.2">
      <c r="A8" s="10" t="s">
        <v>235</v>
      </c>
      <c r="B8" s="10"/>
      <c r="C8" s="28">
        <f>IF(ISNUMBER('CSI data - simple'!E265),'CSI data - simple'!E265,'CSI data - simple'!E270)</f>
        <v>12.940238095238096</v>
      </c>
    </row>
    <row r="9" spans="1:5" x14ac:dyDescent="0.2">
      <c r="A9" s="10" t="s">
        <v>236</v>
      </c>
      <c r="B9" s="10"/>
      <c r="C9" s="15">
        <f>1-C6</f>
        <v>0.75</v>
      </c>
    </row>
    <row r="10" spans="1:5" x14ac:dyDescent="0.2">
      <c r="C10" s="16"/>
    </row>
    <row r="11" spans="1:5" x14ac:dyDescent="0.2">
      <c r="A11" t="s">
        <v>297</v>
      </c>
      <c r="B11" s="10" t="s">
        <v>237</v>
      </c>
      <c r="C11" s="28">
        <f>C5*C6+C8*C9</f>
        <v>19.410357142857144</v>
      </c>
    </row>
    <row r="12" spans="1:5" x14ac:dyDescent="0.2">
      <c r="C12" s="16"/>
    </row>
    <row r="13" spans="1:5" x14ac:dyDescent="0.2">
      <c r="A13" t="s">
        <v>298</v>
      </c>
      <c r="B13" s="10" t="s">
        <v>238</v>
      </c>
      <c r="C13" s="16">
        <v>2.5</v>
      </c>
    </row>
    <row r="14" spans="1:5" x14ac:dyDescent="0.2">
      <c r="A14" s="10" t="s">
        <v>239</v>
      </c>
      <c r="B14" s="10"/>
      <c r="C14" s="16">
        <f>'CSI data - simple'!E254</f>
        <v>596</v>
      </c>
    </row>
    <row r="15" spans="1:5" x14ac:dyDescent="0.2">
      <c r="A15" s="10" t="s">
        <v>240</v>
      </c>
      <c r="B15" s="10"/>
      <c r="C15" s="16">
        <f>'CSI data - simple'!E251</f>
        <v>6.0274999999999999</v>
      </c>
    </row>
    <row r="16" spans="1:5" x14ac:dyDescent="0.2">
      <c r="A16" s="10" t="s">
        <v>302</v>
      </c>
      <c r="B16" s="10" t="s">
        <v>241</v>
      </c>
      <c r="C16" s="17">
        <f>IF(ISNUMBER(C13*C11/60*C14/C15),C13*C11/60*C14/C15,0)</f>
        <v>79.970778771898651</v>
      </c>
    </row>
    <row r="17" spans="1:4" x14ac:dyDescent="0.2">
      <c r="A17" s="10" t="s">
        <v>249</v>
      </c>
      <c r="B17" s="10"/>
      <c r="C17" s="17">
        <f>'CSI data - simple'!E218</f>
        <v>2098</v>
      </c>
    </row>
    <row r="18" spans="1:4" x14ac:dyDescent="0.2">
      <c r="C18" s="16"/>
    </row>
    <row r="19" spans="1:4" ht="15.75" x14ac:dyDescent="0.25">
      <c r="A19" s="19" t="s">
        <v>242</v>
      </c>
      <c r="B19" s="19"/>
      <c r="C19" s="20"/>
      <c r="D19" s="21"/>
    </row>
    <row r="20" spans="1:4" x14ac:dyDescent="0.2">
      <c r="A20" s="10" t="s">
        <v>270</v>
      </c>
      <c r="B20" s="10"/>
      <c r="C20" s="16">
        <f>IF(ISNUMBER('CSI data - simple'!E266),'CSI data - simple'!E266,'CSI data - simple'!E271)</f>
        <v>2.4159523809523811</v>
      </c>
    </row>
    <row r="21" spans="1:4" x14ac:dyDescent="0.2">
      <c r="A21" s="10" t="s">
        <v>244</v>
      </c>
      <c r="B21" s="10"/>
      <c r="C21" s="16">
        <f>'CSI data - simple'!E255</f>
        <v>1501.4</v>
      </c>
    </row>
    <row r="22" spans="1:4" x14ac:dyDescent="0.2">
      <c r="A22" s="10" t="s">
        <v>243</v>
      </c>
      <c r="B22" s="10"/>
      <c r="C22" s="16">
        <f>'CSI data - simple'!E252</f>
        <v>8.4945000000000004</v>
      </c>
    </row>
    <row r="23" spans="1:4" x14ac:dyDescent="0.2">
      <c r="C23" s="16"/>
    </row>
    <row r="24" spans="1:4" x14ac:dyDescent="0.2">
      <c r="A24" s="10" t="s">
        <v>304</v>
      </c>
      <c r="B24" s="10" t="s">
        <v>246</v>
      </c>
      <c r="C24" s="16">
        <f>IF(ISNUMBER(C20*C21/C22),C20*C21/C22,0)</f>
        <v>427.01876564387601</v>
      </c>
    </row>
    <row r="25" spans="1:4" x14ac:dyDescent="0.2">
      <c r="A25" s="10" t="s">
        <v>305</v>
      </c>
      <c r="B25" s="10" t="s">
        <v>245</v>
      </c>
      <c r="C25" s="16">
        <v>2.15</v>
      </c>
    </row>
    <row r="26" spans="1:4" x14ac:dyDescent="0.2">
      <c r="A26" s="10" t="s">
        <v>303</v>
      </c>
      <c r="B26" s="10" t="s">
        <v>247</v>
      </c>
      <c r="C26" s="16">
        <f>C25*C24/60</f>
        <v>15.301505768905555</v>
      </c>
    </row>
    <row r="27" spans="1:4" x14ac:dyDescent="0.2">
      <c r="A27" s="10" t="s">
        <v>248</v>
      </c>
      <c r="B27" s="10"/>
      <c r="C27" s="17">
        <f>'CSI data - simple'!E219</f>
        <v>5234</v>
      </c>
    </row>
    <row r="28" spans="1:4" ht="13.5" thickBot="1" x14ac:dyDescent="0.25">
      <c r="A28" s="13"/>
      <c r="B28" s="13"/>
      <c r="C28" s="13"/>
      <c r="D28" s="13"/>
    </row>
    <row r="29" spans="1:4" x14ac:dyDescent="0.2">
      <c r="A29" s="11" t="s">
        <v>250</v>
      </c>
      <c r="B29" s="11"/>
      <c r="C29" s="29">
        <f>C16*C17+C26*C27</f>
        <v>247866.77505789505</v>
      </c>
      <c r="D29" s="10" t="s">
        <v>251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2" tint="-9.9978637043366805E-2"/>
  </sheetPr>
  <dimension ref="A1:C33"/>
  <sheetViews>
    <sheetView workbookViewId="0">
      <selection activeCell="K26" sqref="K26"/>
    </sheetView>
  </sheetViews>
  <sheetFormatPr defaultRowHeight="12.75" x14ac:dyDescent="0.2"/>
  <sheetData>
    <row r="1" spans="1:3" x14ac:dyDescent="0.2">
      <c r="A1" s="30"/>
      <c r="B1" s="30" t="s">
        <v>310</v>
      </c>
      <c r="C1" s="30" t="s">
        <v>311</v>
      </c>
    </row>
    <row r="2" spans="1:3" x14ac:dyDescent="0.2">
      <c r="A2" s="30" t="s">
        <v>312</v>
      </c>
      <c r="B2" s="31">
        <v>20</v>
      </c>
      <c r="C2" s="31">
        <v>1</v>
      </c>
    </row>
    <row r="3" spans="1:3" x14ac:dyDescent="0.2">
      <c r="A3" s="30" t="s">
        <v>313</v>
      </c>
      <c r="B3" s="10" t="s">
        <v>29</v>
      </c>
      <c r="C3" s="30">
        <v>2017</v>
      </c>
    </row>
    <row r="4" spans="1:3" x14ac:dyDescent="0.2">
      <c r="A4" s="30"/>
      <c r="B4" s="10" t="s">
        <v>30</v>
      </c>
      <c r="C4" s="30"/>
    </row>
    <row r="5" spans="1:3" x14ac:dyDescent="0.2">
      <c r="A5" s="30"/>
      <c r="B5" s="55" t="s">
        <v>31</v>
      </c>
      <c r="C5" s="30"/>
    </row>
    <row r="6" spans="1:3" x14ac:dyDescent="0.2">
      <c r="A6" s="30"/>
      <c r="B6" s="55" t="s">
        <v>55</v>
      </c>
      <c r="C6" s="30"/>
    </row>
    <row r="7" spans="1:3" x14ac:dyDescent="0.2">
      <c r="A7" s="30"/>
      <c r="B7" s="10" t="s">
        <v>195</v>
      </c>
      <c r="C7" s="30"/>
    </row>
    <row r="8" spans="1:3" x14ac:dyDescent="0.2">
      <c r="A8" s="30"/>
      <c r="B8" s="10" t="s">
        <v>33</v>
      </c>
    </row>
    <row r="9" spans="1:3" x14ac:dyDescent="0.2">
      <c r="A9" s="30"/>
      <c r="B9" s="10" t="s">
        <v>38</v>
      </c>
    </row>
    <row r="10" spans="1:3" x14ac:dyDescent="0.2">
      <c r="A10" s="30"/>
      <c r="B10" s="10" t="s">
        <v>34</v>
      </c>
      <c r="C10" s="30"/>
    </row>
    <row r="11" spans="1:3" x14ac:dyDescent="0.2">
      <c r="A11" s="30"/>
      <c r="B11" s="10" t="s">
        <v>35</v>
      </c>
      <c r="C11" s="30"/>
    </row>
    <row r="12" spans="1:3" x14ac:dyDescent="0.2">
      <c r="A12" s="30"/>
      <c r="B12" s="10" t="s">
        <v>39</v>
      </c>
      <c r="C12" s="30"/>
    </row>
    <row r="13" spans="1:3" x14ac:dyDescent="0.2">
      <c r="A13" s="30"/>
      <c r="B13" s="10" t="s">
        <v>53</v>
      </c>
      <c r="C13" s="30"/>
    </row>
    <row r="14" spans="1:3" x14ac:dyDescent="0.2">
      <c r="A14" s="30"/>
      <c r="B14" s="10" t="s">
        <v>36</v>
      </c>
      <c r="C14" s="30"/>
    </row>
    <row r="15" spans="1:3" x14ac:dyDescent="0.2">
      <c r="A15" s="30"/>
      <c r="B15" s="10" t="s">
        <v>37</v>
      </c>
      <c r="C15" s="30"/>
    </row>
    <row r="16" spans="1:3" x14ac:dyDescent="0.2">
      <c r="A16" s="30"/>
      <c r="B16" s="10" t="s">
        <v>324</v>
      </c>
      <c r="C16" s="30"/>
    </row>
    <row r="17" spans="1:3" x14ac:dyDescent="0.2">
      <c r="A17" s="30"/>
      <c r="B17" s="10" t="s">
        <v>40</v>
      </c>
      <c r="C17" s="30"/>
    </row>
    <row r="18" spans="1:3" x14ac:dyDescent="0.2">
      <c r="A18" s="30"/>
      <c r="B18" s="10" t="s">
        <v>41</v>
      </c>
      <c r="C18" s="30"/>
    </row>
    <row r="19" spans="1:3" x14ac:dyDescent="0.2">
      <c r="A19" s="30"/>
      <c r="B19" s="10" t="s">
        <v>42</v>
      </c>
      <c r="C19" s="30"/>
    </row>
    <row r="20" spans="1:3" x14ac:dyDescent="0.2">
      <c r="A20" s="30"/>
      <c r="B20" s="10" t="s">
        <v>44</v>
      </c>
      <c r="C20" s="30"/>
    </row>
    <row r="21" spans="1:3" x14ac:dyDescent="0.2">
      <c r="A21" s="30"/>
      <c r="B21" s="10" t="s">
        <v>45</v>
      </c>
      <c r="C21" s="30"/>
    </row>
    <row r="22" spans="1:3" x14ac:dyDescent="0.2">
      <c r="A22" s="30"/>
      <c r="B22" s="10" t="s">
        <v>43</v>
      </c>
      <c r="C22" s="30"/>
    </row>
    <row r="23" spans="1:3" x14ac:dyDescent="0.2">
      <c r="A23" s="30"/>
      <c r="B23" s="55" t="s">
        <v>332</v>
      </c>
      <c r="C23" s="30"/>
    </row>
    <row r="24" spans="1:3" x14ac:dyDescent="0.2">
      <c r="A24" s="30"/>
      <c r="B24" s="10" t="s">
        <v>56</v>
      </c>
      <c r="C24" s="30"/>
    </row>
    <row r="25" spans="1:3" x14ac:dyDescent="0.2">
      <c r="A25" s="30"/>
      <c r="B25" s="10" t="s">
        <v>46</v>
      </c>
      <c r="C25" s="30"/>
    </row>
    <row r="26" spans="1:3" x14ac:dyDescent="0.2">
      <c r="A26" s="30"/>
      <c r="B26" s="10" t="s">
        <v>48</v>
      </c>
      <c r="C26" s="30"/>
    </row>
    <row r="27" spans="1:3" x14ac:dyDescent="0.2">
      <c r="A27" s="30"/>
      <c r="B27" s="10" t="s">
        <v>49</v>
      </c>
      <c r="C27" s="30"/>
    </row>
    <row r="28" spans="1:3" x14ac:dyDescent="0.2">
      <c r="B28" s="10" t="s">
        <v>50</v>
      </c>
    </row>
    <row r="29" spans="1:3" x14ac:dyDescent="0.2">
      <c r="B29" s="10" t="s">
        <v>54</v>
      </c>
    </row>
    <row r="30" spans="1:3" x14ac:dyDescent="0.2">
      <c r="B30" s="10" t="s">
        <v>52</v>
      </c>
    </row>
    <row r="31" spans="1:3" x14ac:dyDescent="0.2">
      <c r="B31" s="55" t="s">
        <v>51</v>
      </c>
    </row>
    <row r="32" spans="1:3" x14ac:dyDescent="0.2">
      <c r="B32" s="55" t="s">
        <v>333</v>
      </c>
    </row>
    <row r="33" spans="2:2" x14ac:dyDescent="0.2">
      <c r="B33" s="10" t="s">
        <v>57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RA_Document" ma:contentTypeID="0x010100CA9806D3932DA942ADAA782981EB548D00277C38AEEC948C43BDF81B5A1A8FD42C" ma:contentTypeVersion="103" ma:contentTypeDescription="" ma:contentTypeScope="" ma:versionID="ef474600a3a0ec01582f009344dd2fd6">
  <xsd:schema xmlns:xsd="http://www.w3.org/2001/XMLSchema" xmlns:xs="http://www.w3.org/2001/XMLSchema" xmlns:p="http://schemas.microsoft.com/office/2006/metadata/properties" xmlns:ns2="37dc432a-8ebf-4af5-8237-268edd3a8664" targetNamespace="http://schemas.microsoft.com/office/2006/metadata/properties" ma:root="true" ma:fieldsID="588e8a00b2662fde7c5d2eae8e980b8a" ns2:_="">
    <xsd:import namespace="37dc432a-8ebf-4af5-8237-268edd3a86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gf147c1d654543abacff4a31dfc45623" minOccurs="0"/>
                <xsd:element ref="ns2:TaxCatchAll" minOccurs="0"/>
                <xsd:element ref="ns2:TaxCatchAllLabel" minOccurs="0"/>
                <xsd:element ref="ns2:g337828d867743cab065af36c4e1a31c" minOccurs="0"/>
                <xsd:element ref="ns2:h70713ed90ce4adeabe454f2aabfa4ef" minOccurs="0"/>
                <xsd:element ref="ns2:Project_x0020_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c432a-8ebf-4af5-8237-268edd3a8664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gf147c1d654543abacff4a31dfc45623" ma:index="8" ma:taxonomy="true" ma:internalName="gf147c1d654543abacff4a31dfc45623" ma:taxonomyFieldName="Origin_x002d_Author" ma:displayName="Origin-Author" ma:readOnly="false" ma:default="141;#ERA|8287c6ea-6f12-4bfd-9fc9-6825fce534f5" ma:fieldId="{0f147c1d-6545-43ab-acff-4a31dfc45623}" ma:sspId="b1d52ad1-4fc8-48e5-9ebf-c709b056ed17" ma:termSetId="3bd325ee-ad60-4d4f-86e3-57acc14312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0853311-224c-45cb-aa93-7b40079dd3b8}" ma:internalName="TaxCatchAll" ma:showField="CatchAllData" ma:web="aed2df5d-2ae5-40d6-b29c-154a1409ff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0853311-224c-45cb-aa93-7b40079dd3b8}" ma:internalName="TaxCatchAllLabel" ma:readOnly="true" ma:showField="CatchAllDataLabel" ma:web="aed2df5d-2ae5-40d6-b29c-154a1409ff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37828d867743cab065af36c4e1a31c" ma:index="14" ma:taxonomy="true" ma:internalName="g337828d867743cab065af36c4e1a31c" ma:taxonomyFieldName="Process" ma:displayName="Process" ma:indexed="true" ma:readOnly="false" ma:default="" ma:fieldId="{0337828d-8677-43ca-b065-af36c4e1a31c}" ma:sspId="b1d52ad1-4fc8-48e5-9ebf-c709b056ed17" ma:termSetId="41c32b1e-eebd-43d7-92b4-2a0b44ea66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70713ed90ce4adeabe454f2aabfa4ef" ma:index="17" ma:taxonomy="true" ma:internalName="h70713ed90ce4adeabe454f2aabfa4ef" ma:taxonomyFieldName="Document_x0020_type" ma:displayName="Document type" ma:readOnly="false" ma:default="" ma:fieldId="{170713ed-90ce-4ade-abe4-54f2aabfa4ef}" ma:sspId="b1d52ad1-4fc8-48e5-9ebf-c709b056ed17" ma:termSetId="07ece8fb-22f7-4a45-9bd0-d78559e8cd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0_Code" ma:index="19" nillable="true" ma:displayName="Project Code" ma:description="Only if the project code exists" ma:internalName="Project_x0020_Code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SharedContentType xmlns="Microsoft.SharePoint.Taxonomy.ContentTypeSync" SourceId="b1d52ad1-4fc8-48e5-9ebf-c709b056ed17" ContentTypeId="0x010100CA9806D3932DA942ADAA782981EB548D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_x0020_Code xmlns="37dc432a-8ebf-4af5-8237-268edd3a8664" xsi:nil="true"/>
    <g337828d867743cab065af36c4e1a31c xmlns="37dc432a-8ebf-4af5-8237-268edd3a8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MRA - Monitoring Railway Activities</TermName>
          <TermId xmlns="http://schemas.microsoft.com/office/infopath/2007/PartnerControls">72c82b58-f6a9-4fb8-8b9f-019691878dd3</TermId>
        </TermInfo>
      </Terms>
    </g337828d867743cab065af36c4e1a31c>
    <gf147c1d654543abacff4a31dfc45623 xmlns="37dc432a-8ebf-4af5-8237-268edd3a8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ERA</TermName>
          <TermId xmlns="http://schemas.microsoft.com/office/infopath/2007/PartnerControls">8287c6ea-6f12-4bfd-9fc9-6825fce534f5</TermId>
        </TermInfo>
      </Terms>
    </gf147c1d654543abacff4a31dfc45623>
    <TaxCatchAll xmlns="37dc432a-8ebf-4af5-8237-268edd3a8664">
      <Value>390</Value>
      <Value>375</Value>
      <Value>141</Value>
      <Value>721</Value>
    </TaxCatchAll>
    <h70713ed90ce4adeabe454f2aabfa4ef xmlns="37dc432a-8ebf-4af5-8237-268edd3a866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692695f4-c854-40e4-945b-ea8d7906ec8d</TermId>
        </TermInfo>
      </Terms>
    </h70713ed90ce4adeabe454f2aabfa4ef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40D87C-2C96-4DFF-9360-93928BE203F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1F948F8-C5A4-4159-9775-71C96F63A9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dc432a-8ebf-4af5-8237-268edd3a86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2B7BF3-B8F9-4E5A-92D7-B384F6E0BDA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670E546-8647-4559-A222-96BE7436DC08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4AD9F511-66F3-4AC3-B499-568538038A58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37dc432a-8ebf-4af5-8237-268edd3a8664"/>
    <ds:schemaRef ds:uri="http://www.w3.org/XML/1998/namespace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D5227E8D-283C-449D-8CCE-54EEA1B3D4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Please read</vt:lpstr>
      <vt:lpstr>CSI data - simple</vt:lpstr>
      <vt:lpstr>Fallback values</vt:lpstr>
      <vt:lpstr>Reference Data</vt:lpstr>
      <vt:lpstr>Delays of accidents</vt:lpstr>
      <vt:lpstr>Reference info</vt:lpstr>
      <vt:lpstr>'Fallback values'!_ftnref1</vt:lpstr>
      <vt:lpstr>'Fallback values'!_ftnref2</vt:lpstr>
      <vt:lpstr>'CSI data - simple'!Print_Area</vt:lpstr>
      <vt:lpstr>'CSI data - simple'!Print_Titles</vt:lpstr>
    </vt:vector>
  </TitlesOfParts>
  <Company>European Railway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</dc:creator>
  <dc:description>Version 2010-09-08.</dc:description>
  <cp:lastModifiedBy>Linda Gailīte</cp:lastModifiedBy>
  <cp:lastPrinted>2016-09-07T17:11:23Z</cp:lastPrinted>
  <dcterms:created xsi:type="dcterms:W3CDTF">2005-12-06T16:26:40Z</dcterms:created>
  <dcterms:modified xsi:type="dcterms:W3CDTF">2018-09-28T07:35:34Z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2b697698c5b48f3a6ba074d712c5d22">
    <vt:lpwstr>Management Meeting|cae9c8c3-25e5-4a5d-a79e-0d4b202fb7e0</vt:lpwstr>
  </property>
  <property fmtid="{D5CDD505-2E9C-101B-9397-08002B2CF9AE}" pid="3" name="_dlc_DocId">
    <vt:lpwstr>ERAINT-237-9186</vt:lpwstr>
  </property>
  <property fmtid="{D5CDD505-2E9C-101B-9397-08002B2CF9AE}" pid="4" name="_dlc_DocIdItemGuid">
    <vt:lpwstr>0307f49d-9061-4f83-8c5d-3f3fff3c2eed</vt:lpwstr>
  </property>
  <property fmtid="{D5CDD505-2E9C-101B-9397-08002B2CF9AE}" pid="5" name="_dlc_DocIdUrl">
    <vt:lpwstr>https://intranet.era.europa.eu/SAF/_layouts/15/DocIdRedir.aspx?ID=ERAINT-237-9186, ERAINT-237-9186</vt:lpwstr>
  </property>
  <property fmtid="{D5CDD505-2E9C-101B-9397-08002B2CF9AE}" pid="6" name="Archive Area">
    <vt:lpwstr>721;#Management Meeting|cae9c8c3-25e5-4a5d-a79e-0d4b202fb7e0</vt:lpwstr>
  </property>
  <property fmtid="{D5CDD505-2E9C-101B-9397-08002B2CF9AE}" pid="7" name="Document type">
    <vt:lpwstr>375;#Document|692695f4-c854-40e4-945b-ea8d7906ec8d</vt:lpwstr>
  </property>
  <property fmtid="{D5CDD505-2E9C-101B-9397-08002B2CF9AE}" pid="8" name="Origin-Author">
    <vt:lpwstr>141;#ERA|8287c6ea-6f12-4bfd-9fc9-6825fce534f5</vt:lpwstr>
  </property>
  <property fmtid="{D5CDD505-2E9C-101B-9397-08002B2CF9AE}" pid="9" name="Process">
    <vt:lpwstr>390;#MRA - Monitoring Railway Activities|72c82b58-f6a9-4fb8-8b9f-019691878dd3</vt:lpwstr>
  </property>
</Properties>
</file>